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Gabe\Dropbox\Community Solar Gardens\"/>
    </mc:Choice>
  </mc:AlternateContent>
  <xr:revisionPtr revIDLastSave="0" documentId="13_ncr:1_{720DF5FF-772F-4BC1-A5BE-7C161F8FA399}" xr6:coauthVersionLast="36" xr6:coauthVersionMax="36" xr10:uidLastSave="{00000000-0000-0000-0000-000000000000}"/>
  <bookViews>
    <workbookView xWindow="0" yWindow="0" windowWidth="27435" windowHeight="12750" activeTab="2" xr2:uid="{00C10523-13B1-431E-B0E1-074653083D88}"/>
  </bookViews>
  <sheets>
    <sheet name="Citation" sheetId="3" r:id="rId1"/>
    <sheet name="Data Inputs" sheetId="1" r:id="rId2"/>
    <sheet name="Calculations" sheetId="2" r:id="rId3"/>
  </sheets>
  <definedNames>
    <definedName name="_xlnm.Print_Area" localSheetId="2">Calculations!$A$19:$F$52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5" i="2" l="1"/>
  <c r="F28" i="2"/>
  <c r="F24" i="2"/>
  <c r="E25" i="2"/>
  <c r="E24" i="2" s="1"/>
  <c r="D24" i="2"/>
  <c r="D28" i="2" s="1"/>
  <c r="D29" i="2" s="1"/>
  <c r="E28" i="2" l="1"/>
  <c r="C24" i="2"/>
  <c r="C26" i="2"/>
  <c r="D27" i="2" l="1"/>
  <c r="F27" i="2"/>
  <c r="C27" i="2"/>
  <c r="E27" i="2"/>
  <c r="C25" i="2"/>
  <c r="C6" i="2"/>
  <c r="C7" i="2"/>
  <c r="C8" i="2"/>
  <c r="C9" i="2"/>
  <c r="C10" i="2"/>
  <c r="C11" i="2"/>
  <c r="C12" i="2"/>
  <c r="C13" i="2"/>
  <c r="E29" i="2" s="1"/>
  <c r="C5" i="2"/>
  <c r="A34" i="1"/>
  <c r="A35" i="1" s="1"/>
  <c r="A36" i="1" s="1"/>
  <c r="A37" i="1" s="1"/>
  <c r="A38" i="1" s="1"/>
  <c r="A39" i="1" s="1"/>
  <c r="A40" i="1" s="1"/>
  <c r="D17" i="1"/>
  <c r="D12" i="1"/>
  <c r="D13" i="1" s="1"/>
  <c r="D7" i="1"/>
  <c r="F29" i="2" l="1"/>
  <c r="D12" i="2"/>
  <c r="D10" i="2"/>
  <c r="D5" i="2"/>
  <c r="D6" i="2"/>
  <c r="D11" i="2"/>
  <c r="D9" i="2"/>
  <c r="D8" i="2"/>
  <c r="D7" i="2"/>
  <c r="C15" i="2"/>
  <c r="E30" i="2" s="1"/>
  <c r="E35" i="2" s="1"/>
  <c r="E40" i="2" s="1"/>
  <c r="E45" i="2" s="1"/>
  <c r="E50" i="2" s="1"/>
  <c r="C16" i="2"/>
  <c r="C17" i="2"/>
  <c r="D18" i="1"/>
  <c r="D17" i="2" l="1"/>
  <c r="F32" i="2"/>
  <c r="D32" i="2"/>
  <c r="E32" i="2"/>
  <c r="C32" i="2"/>
  <c r="D16" i="2"/>
  <c r="F31" i="2"/>
  <c r="D31" i="2"/>
  <c r="E31" i="2"/>
  <c r="C31" i="2"/>
  <c r="D15" i="2"/>
  <c r="F30" i="2"/>
  <c r="F35" i="2" s="1"/>
  <c r="F40" i="2" s="1"/>
  <c r="F45" i="2" s="1"/>
  <c r="F50" i="2" s="1"/>
  <c r="D30" i="2"/>
  <c r="D35" i="2" s="1"/>
  <c r="D40" i="2" s="1"/>
  <c r="D45" i="2" s="1"/>
  <c r="D50" i="2" s="1"/>
  <c r="E36" i="2"/>
  <c r="C30" i="2"/>
  <c r="E37" i="2" l="1"/>
  <c r="E42" i="2" s="1"/>
  <c r="E47" i="2" s="1"/>
  <c r="E52" i="2" s="1"/>
  <c r="E41" i="2"/>
  <c r="E46" i="2" s="1"/>
  <c r="E51" i="2" s="1"/>
  <c r="C35" i="2"/>
  <c r="C40" i="2" s="1"/>
  <c r="C45" i="2" s="1"/>
  <c r="C50" i="2" s="1"/>
  <c r="F36" i="2"/>
  <c r="D36" i="2"/>
  <c r="F37" i="2" l="1"/>
  <c r="F42" i="2" s="1"/>
  <c r="F47" i="2" s="1"/>
  <c r="F52" i="2" s="1"/>
  <c r="F41" i="2"/>
  <c r="F46" i="2" s="1"/>
  <c r="F51" i="2" s="1"/>
  <c r="D37" i="2"/>
  <c r="D42" i="2" s="1"/>
  <c r="D47" i="2" s="1"/>
  <c r="D52" i="2" s="1"/>
  <c r="D41" i="2"/>
  <c r="D46" i="2" s="1"/>
  <c r="D51" i="2" s="1"/>
  <c r="C36" i="2"/>
  <c r="C37" i="2" l="1"/>
  <c r="C42" i="2" s="1"/>
  <c r="C47" i="2" s="1"/>
  <c r="C52" i="2" s="1"/>
  <c r="C41" i="2"/>
  <c r="C46" i="2" s="1"/>
  <c r="C5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Gabe Chan</author>
  </authors>
  <commentList>
    <comment ref="E28" authorId="0" shapeId="0" xr:uid="{A42739F1-30AB-4856-83A1-C2EEA8C8CC49}">
      <text>
        <r>
          <rPr>
            <b/>
            <sz val="9"/>
            <color indexed="81"/>
            <rFont val="Tahoma"/>
            <family val="2"/>
          </rPr>
          <t>Gabe Chan:</t>
        </r>
        <r>
          <rPr>
            <sz val="9"/>
            <color indexed="81"/>
            <rFont val="Tahoma"/>
            <family val="2"/>
          </rPr>
          <t xml:space="preserve">
assumes 100% ARR and therefore not comparable</t>
        </r>
      </text>
    </comment>
    <comment ref="F28" authorId="0" shapeId="0" xr:uid="{2EF6CD07-C962-4E9B-ADD2-3FDA3FE51882}">
      <text>
        <r>
          <rPr>
            <b/>
            <sz val="9"/>
            <color indexed="81"/>
            <rFont val="Tahoma"/>
            <family val="2"/>
          </rPr>
          <t>Gabe Chan:</t>
        </r>
        <r>
          <rPr>
            <sz val="9"/>
            <color indexed="81"/>
            <rFont val="Tahoma"/>
            <family val="2"/>
          </rPr>
          <t xml:space="preserve">
Assumes 100% ARR and therefore not comprable</t>
        </r>
      </text>
    </comment>
    <comment ref="D29" authorId="0" shapeId="0" xr:uid="{57708B35-F345-4D55-849A-7EC4AD1C0EB9}">
      <text>
        <r>
          <rPr>
            <b/>
            <sz val="9"/>
            <color indexed="81"/>
            <rFont val="Tahoma"/>
            <family val="2"/>
          </rPr>
          <t>Gabe Chan:</t>
        </r>
        <r>
          <rPr>
            <sz val="9"/>
            <color indexed="81"/>
            <rFont val="Tahoma"/>
            <family val="2"/>
          </rPr>
          <t xml:space="preserve">
assumes 100% ARR</t>
        </r>
      </text>
    </comment>
    <comment ref="E29" authorId="0" shapeId="0" xr:uid="{EB4AA1CF-5E06-4D53-9527-544BAA12CED1}">
      <text>
        <r>
          <rPr>
            <b/>
            <sz val="9"/>
            <color indexed="81"/>
            <rFont val="Tahoma"/>
            <family val="2"/>
          </rPr>
          <t>Gabe Chan:</t>
        </r>
        <r>
          <rPr>
            <sz val="9"/>
            <color indexed="81"/>
            <rFont val="Tahoma"/>
            <family val="2"/>
          </rPr>
          <t xml:space="preserve">
accounts for fraction of projects in queue under ARR vs VOS. Treats 2017 and 2018 VOS the same</t>
        </r>
      </text>
    </comment>
    <comment ref="F29" authorId="0" shapeId="0" xr:uid="{EB0D936D-8A45-47DE-AEC5-31807F4FCFF4}">
      <text>
        <r>
          <rPr>
            <b/>
            <sz val="9"/>
            <color indexed="81"/>
            <rFont val="Tahoma"/>
            <family val="2"/>
          </rPr>
          <t>Gabe Chan:</t>
        </r>
        <r>
          <rPr>
            <sz val="9"/>
            <color indexed="81"/>
            <rFont val="Tahoma"/>
            <family val="2"/>
          </rPr>
          <t xml:space="preserve">
Treats all new projects as under the 2018 VOS</t>
        </r>
      </text>
    </comment>
  </commentList>
</comments>
</file>

<file path=xl/sharedStrings.xml><?xml version="1.0" encoding="utf-8"?>
<sst xmlns="http://schemas.openxmlformats.org/spreadsheetml/2006/main" count="260" uniqueCount="145">
  <si>
    <t>Lines</t>
  </si>
  <si>
    <t>Description</t>
  </si>
  <si>
    <t>Unit of Measurement</t>
  </si>
  <si>
    <t>Source</t>
  </si>
  <si>
    <t>Total Bill Credits and Unsubscribed Energy</t>
  </si>
  <si>
    <t>$</t>
  </si>
  <si>
    <t>AAA Part H, Sect 9, Sch 2, line 6</t>
  </si>
  <si>
    <t>Total CSG Subscribed &amp; Unsubscribed Energy</t>
  </si>
  <si>
    <t>MWh</t>
  </si>
  <si>
    <t>Average CSG Bill Credit Rate</t>
  </si>
  <si>
    <t>$/MWh</t>
  </si>
  <si>
    <t>Line 1 / Line 2</t>
  </si>
  <si>
    <t>ActualFuel Rate w/o Above Mkt CSG</t>
  </si>
  <si>
    <t>AAA Part E Section 5 Schedule 1, Page 1, Line [1b 22]</t>
  </si>
  <si>
    <t>CSG Above Market Costs</t>
  </si>
  <si>
    <t>AAA Part E Section 5 Schedule 1, Page 1, Line [1b 14]</t>
  </si>
  <si>
    <t>MN Jurisdictional Energy Subject to FCA</t>
  </si>
  <si>
    <t>AAA Part H, Sect 9, Sch 2, line 8 and AAA PART E Section 5 Schedule 1, Page 1, Line [1b 21]</t>
  </si>
  <si>
    <t>MN FCA Rate due to Above Mkt CSG</t>
  </si>
  <si>
    <t>Line 5 / Line 6</t>
  </si>
  <si>
    <t>MN FCA Rate including Above Mkt CSG</t>
  </si>
  <si>
    <t>Line 4 + Line 7</t>
  </si>
  <si>
    <t>MN CSG Cost Recovery</t>
  </si>
  <si>
    <t>AAA Part H, Sect 9, Sch 2, line 16</t>
  </si>
  <si>
    <t>AAA Part H, Sect 9, Sch 2, line 8 and Part E Section 5 Schedule 1, Page 1, Line [1b 21]</t>
  </si>
  <si>
    <t>MN FCA Rate due to CSG</t>
  </si>
  <si>
    <t>Line 9 / Line 10</t>
  </si>
  <si>
    <t>% of Total MN FCA Rate due to CSG</t>
  </si>
  <si>
    <t>%</t>
  </si>
  <si>
    <t>Line 11  / Line 8</t>
  </si>
  <si>
    <t>E999/AA-18-373, Part H, Section 9, Schedule 2</t>
  </si>
  <si>
    <t>Total</t>
  </si>
  <si>
    <t>Total Bill Credits &amp; Unsubscribed Energy Payments</t>
  </si>
  <si>
    <t>Minnesota Jurisdiction Retail MWh Subject to FCA</t>
  </si>
  <si>
    <t>NSP System MWh Sales Exclude Windsource &amp; Renewable*Connect</t>
  </si>
  <si>
    <t>Allocated Avoided LMP (Allocated System Portion)</t>
  </si>
  <si>
    <t>Solar Garden Developer Late Fees (Credit Back to MN Customers)</t>
  </si>
  <si>
    <t>Value</t>
  </si>
  <si>
    <t>Avoided Fuel Cost (25 Year Levelized Values)</t>
  </si>
  <si>
    <t>$/kWh</t>
  </si>
  <si>
    <t>Fig. ES-1</t>
  </si>
  <si>
    <t>Avoided Plant O&amp;M - Fixed (25 Year Levelized Values)</t>
  </si>
  <si>
    <t>Avoided Plant O&amp;M - Variable (25 Year Levelized Values)</t>
  </si>
  <si>
    <t>Avoided Generation Capacity Cost (25 Year Levelized Values)</t>
  </si>
  <si>
    <t>Avoided Reserve Capacity Cost (25 Year Levelized Values)</t>
  </si>
  <si>
    <t>Avoided Transmission Capacity Cost (25 Year Levelized Values)</t>
  </si>
  <si>
    <t>Avoided Distribution Capacity Cost (25 Year Levelized Values)</t>
  </si>
  <si>
    <t>Avoided Environmental Cost (25 Year Levelized Values)</t>
  </si>
  <si>
    <t>2018 (1st-Year VOS Rate calculation)</t>
  </si>
  <si>
    <t>Fig. ES-2</t>
  </si>
  <si>
    <t>Attachment A in Response to Information Request 46 in Docket M-13-687</t>
  </si>
  <si>
    <t>2018 VOS, as approved, Attachment A in Docket M-13-867</t>
  </si>
  <si>
    <t xml:space="preserve">* For comparability to bill credits, the 1st year VOS under the 2018 vintage VOS is used for these calculations. For simplification, avoided cost components of the VOS are assumed proportional to their fraction of the levelized VOS (despite different discount rates in the VOS formula). </t>
  </si>
  <si>
    <t>Avoided Cost Component</t>
  </si>
  <si>
    <t>Avoided Fuel Cost</t>
  </si>
  <si>
    <t>Avoided Plant O&amp;M - Fixed</t>
  </si>
  <si>
    <t xml:space="preserve">Avoided Plant O&amp;M - Variable </t>
  </si>
  <si>
    <t>Avoided Generation Capacity Cost</t>
  </si>
  <si>
    <t xml:space="preserve">Avoided Reserve Capacity Cost </t>
  </si>
  <si>
    <t xml:space="preserve">Avoided Transmission Capacity Cost </t>
  </si>
  <si>
    <t>Avoided Distribution Capacity Cost</t>
  </si>
  <si>
    <t>Avoided Environmental Cost</t>
  </si>
  <si>
    <t>Avoided Short-Term Cost</t>
  </si>
  <si>
    <t>Avoided Long-Term Cost</t>
  </si>
  <si>
    <t>Percent of Total</t>
  </si>
  <si>
    <t>1st Year VOS in 2018, by Avoided Cost</t>
  </si>
  <si>
    <t>Energy Information Administration Form EIA-867, 2017 Release</t>
  </si>
  <si>
    <t>Northern States Power Co - Minnesota</t>
  </si>
  <si>
    <t>A</t>
  </si>
  <si>
    <t>Bundled</t>
  </si>
  <si>
    <t>O</t>
  </si>
  <si>
    <t>MN</t>
  </si>
  <si>
    <t>Investor Owned</t>
  </si>
  <si>
    <t>MISO</t>
  </si>
  <si>
    <t>Data Year</t>
  </si>
  <si>
    <t>Utility Number</t>
  </si>
  <si>
    <t>Utility Name</t>
  </si>
  <si>
    <t>Part</t>
  </si>
  <si>
    <t>Service Type</t>
  </si>
  <si>
    <t>Data Type
O = Observed
I = Imputed</t>
  </si>
  <si>
    <t>State</t>
  </si>
  <si>
    <t>Ownership</t>
  </si>
  <si>
    <t>BA Code</t>
  </si>
  <si>
    <t>Thousand Dollars</t>
  </si>
  <si>
    <t>Megawatthours</t>
  </si>
  <si>
    <t>Count</t>
  </si>
  <si>
    <t>Prepared by Gabriel Chan, University of Minnesota</t>
  </si>
  <si>
    <t>Contact: gabechan@umn.edu | 612-626-3292</t>
  </si>
  <si>
    <t>Revised: March 20, 2019</t>
  </si>
  <si>
    <t>RESIDENTIAL</t>
  </si>
  <si>
    <t>COMMERCIAL</t>
  </si>
  <si>
    <t>INDUSTRIAL</t>
  </si>
  <si>
    <t>TRANSPORTATION</t>
  </si>
  <si>
    <t>TOTAL</t>
  </si>
  <si>
    <t>Revenues</t>
  </si>
  <si>
    <t>Sales</t>
  </si>
  <si>
    <t>Customers</t>
  </si>
  <si>
    <t>* Note: data covers July 2017 - June 2018</t>
  </si>
  <si>
    <t>Ratepayer Impact by Level of CSG Deployment</t>
  </si>
  <si>
    <t>Historical: July 2017 - June 2018</t>
  </si>
  <si>
    <t>Scenario 2:
All CSGs in Queue</t>
  </si>
  <si>
    <t>Total Bill Credits (incl unsubscribed)</t>
  </si>
  <si>
    <t>Total Subscribed Energy (incl unsubscribed)</t>
  </si>
  <si>
    <t>* regular text = referenced in raw data or assumed; italics = calculated (see formula for assumptions)</t>
  </si>
  <si>
    <t>MW-AC</t>
  </si>
  <si>
    <t>Total Garden Capacity (@18.5% CF in 2019 VOS)</t>
  </si>
  <si>
    <t>March 2019 Xcel Compliance Filing in Docket M-13-867</t>
  </si>
  <si>
    <t>Active Applications</t>
  </si>
  <si>
    <t>Commercial Operation (In-Service)</t>
  </si>
  <si>
    <t>MW (AC)</t>
  </si>
  <si>
    <t>ARR</t>
  </si>
  <si>
    <t>VOS 2017</t>
  </si>
  <si>
    <t>VOS 2018</t>
  </si>
  <si>
    <t># Projects by Bill Credit</t>
  </si>
  <si>
    <t>Commercial Operation (In-Service) -- implied from text</t>
  </si>
  <si>
    <t>Scenario 1:
All Active</t>
  </si>
  <si>
    <t>Scenario 3: 1.5GW CSG Growth</t>
  </si>
  <si>
    <t>Residential</t>
  </si>
  <si>
    <t>Small General Service</t>
  </si>
  <si>
    <t>General Service</t>
  </si>
  <si>
    <t>Other</t>
  </si>
  <si>
    <t>AC Monthly Production</t>
  </si>
  <si>
    <t>kWh</t>
  </si>
  <si>
    <t>January Bill Credits</t>
  </si>
  <si>
    <t>Forecasted Bill Credits based on January '19</t>
  </si>
  <si>
    <t>Forecasted Bill Credits based on July '17 - June '18</t>
  </si>
  <si>
    <t>--</t>
  </si>
  <si>
    <t>Avoided Short-Term Cost (based on 2018 1st year VOS)</t>
  </si>
  <si>
    <t>Avoided Long-Term Cost (based on 2018 1st year VOS)</t>
  </si>
  <si>
    <t>Avoided Environmental Cost (based on 2018 1st year VOS)</t>
  </si>
  <si>
    <t>Total Ratepayer Impact Less Short-Term Avoided Cost</t>
  </si>
  <si>
    <t>Total Ratepayer Impact Less Short-Term + Long-Term Avoided Cost</t>
  </si>
  <si>
    <t>Total Ratepayer Impact Less Short-Term + Long-Term + Environmental Avoided Cost</t>
  </si>
  <si>
    <t>Forecasted Bill Credits accounting for bill credit vintage</t>
  </si>
  <si>
    <t>$ per MWh consumption subject to MN FCA</t>
  </si>
  <si>
    <t>Total Ratepayer Impact Less Short-Term Avoided Cost (assuming flat load growth)</t>
  </si>
  <si>
    <t>Total Ratepayer Impact Less Short-Term + Long-Term Avoided Cost (assuming flat load growth)</t>
  </si>
  <si>
    <t>Total Ratepayer Impact Less Short-Term + Long-Term + Environmental Avoided Cost (assuming flat load growth)</t>
  </si>
  <si>
    <t>average annual $ per residential customer</t>
  </si>
  <si>
    <t>average monthly $ per residential customer</t>
  </si>
  <si>
    <t>Scenarios</t>
  </si>
  <si>
    <t>Ratepayer Impact in Total Dollars</t>
  </si>
  <si>
    <t>Ratepayer Impact in Dollars per MWh of Consumption (to be recovered under the fuel clause)</t>
  </si>
  <si>
    <t>Ratepayer Impact for an Average Residential Customer (annual basis)</t>
  </si>
  <si>
    <t>Ratepayer Impact for an Average Residential Customer (monthly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</si>
</sst>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quot;$&quot;#,##0.0000_);[Red]\(&quot;$&quot;#,##0.0000\)"/>
    <numFmt numFmtId="166" formatCode="#,##0.0"/>
    <numFmt numFmtId="170" formatCode="#,##0.000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color theme="1"/>
      <name val="Calibri"/>
      <family val="2"/>
      <scheme val="minor"/>
    </font>
    <font>
      <sz val="11"/>
      <color rgb="FF9C6500"/>
      <name val="Calibri"/>
      <family val="2"/>
      <scheme val="minor"/>
    </font>
    <font>
      <b/>
      <sz val="11"/>
      <color indexed="8"/>
      <name val="Calibri"/>
      <family val="2"/>
      <scheme val="minor"/>
    </font>
    <font>
      <sz val="11"/>
      <color indexed="8"/>
      <name val="Calibri"/>
      <family val="2"/>
      <scheme val="minor"/>
    </font>
    <font>
      <sz val="9"/>
      <color indexed="81"/>
      <name val="Tahoma"/>
      <family val="2"/>
    </font>
    <font>
      <b/>
      <sz val="9"/>
      <color indexed="81"/>
      <name val="Tahoma"/>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CCCCFF"/>
        <bgColor indexed="64"/>
      </patternFill>
    </fill>
    <fill>
      <patternFill patternType="solid">
        <fgColor theme="8" tint="0.7999816888943144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4"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cellStyleXfs>
  <cellXfs count="104">
    <xf numFmtId="0" fontId="0" fillId="0" borderId="0" xfId="0"/>
    <xf numFmtId="0" fontId="0" fillId="33" borderId="11" xfId="0" applyFill="1" applyBorder="1"/>
    <xf numFmtId="0" fontId="0" fillId="33" borderId="12" xfId="0" applyFill="1" applyBorder="1"/>
    <xf numFmtId="0" fontId="0" fillId="33" borderId="13" xfId="0" applyFill="1" applyBorder="1"/>
    <xf numFmtId="0" fontId="0" fillId="33" borderId="0" xfId="0" applyFill="1" applyBorder="1"/>
    <xf numFmtId="0" fontId="0" fillId="33" borderId="14" xfId="0" applyFill="1" applyBorder="1"/>
    <xf numFmtId="0" fontId="0" fillId="34" borderId="11" xfId="0" applyFill="1" applyBorder="1"/>
    <xf numFmtId="0" fontId="0" fillId="34" borderId="12" xfId="0" applyFill="1" applyBorder="1"/>
    <xf numFmtId="0" fontId="0" fillId="34" borderId="13" xfId="0" applyFill="1" applyBorder="1"/>
    <xf numFmtId="0" fontId="0" fillId="34" borderId="0" xfId="0" applyFill="1" applyBorder="1"/>
    <xf numFmtId="0" fontId="0" fillId="34" borderId="14" xfId="0" applyFill="1" applyBorder="1"/>
    <xf numFmtId="0" fontId="0" fillId="35" borderId="11" xfId="0" applyFill="1" applyBorder="1"/>
    <xf numFmtId="0" fontId="0" fillId="35" borderId="12" xfId="0" applyFill="1" applyBorder="1"/>
    <xf numFmtId="0" fontId="0" fillId="35" borderId="15" xfId="0" applyFill="1" applyBorder="1"/>
    <xf numFmtId="0" fontId="0" fillId="35" borderId="16" xfId="0" applyFill="1" applyBorder="1"/>
    <xf numFmtId="0" fontId="0" fillId="35" borderId="17" xfId="0" applyFill="1" applyBorder="1"/>
    <xf numFmtId="0" fontId="15" fillId="33" borderId="18" xfId="0" applyFont="1" applyFill="1" applyBorder="1" applyAlignment="1">
      <alignment vertical="center"/>
    </xf>
    <xf numFmtId="0" fontId="15" fillId="33" borderId="18" xfId="0" applyFont="1" applyFill="1" applyBorder="1" applyAlignment="1">
      <alignment vertical="center" wrapText="1"/>
    </xf>
    <xf numFmtId="0" fontId="15" fillId="33" borderId="18" xfId="0" applyFont="1" applyFill="1" applyBorder="1" applyAlignment="1">
      <alignment horizontal="right" vertical="center"/>
    </xf>
    <xf numFmtId="0" fontId="0" fillId="33" borderId="18" xfId="0" applyFill="1" applyBorder="1"/>
    <xf numFmtId="3" fontId="0" fillId="33" borderId="18" xfId="0" applyNumberFormat="1" applyFill="1" applyBorder="1"/>
    <xf numFmtId="0" fontId="0" fillId="33" borderId="18" xfId="0" applyFill="1" applyBorder="1" applyAlignment="1">
      <alignment shrinkToFit="1"/>
    </xf>
    <xf numFmtId="2" fontId="17" fillId="33" borderId="18" xfId="0" applyNumberFormat="1" applyFont="1" applyFill="1" applyBorder="1"/>
    <xf numFmtId="164" fontId="17" fillId="33" borderId="18" xfId="0" applyNumberFormat="1" applyFont="1" applyFill="1" applyBorder="1"/>
    <xf numFmtId="0" fontId="15" fillId="34" borderId="18" xfId="0" applyFont="1" applyFill="1" applyBorder="1" applyAlignment="1">
      <alignment vertical="center"/>
    </xf>
    <xf numFmtId="0" fontId="15" fillId="34" borderId="18" xfId="0" applyFont="1" applyFill="1" applyBorder="1" applyAlignment="1">
      <alignment vertical="center" wrapText="1"/>
    </xf>
    <xf numFmtId="0" fontId="15" fillId="34" borderId="18" xfId="0" applyFont="1" applyFill="1" applyBorder="1" applyAlignment="1">
      <alignment horizontal="right" vertical="center"/>
    </xf>
    <xf numFmtId="0" fontId="0" fillId="34" borderId="18" xfId="0" applyFill="1" applyBorder="1" applyAlignment="1">
      <alignment vertical="center"/>
    </xf>
    <xf numFmtId="0" fontId="0" fillId="34" borderId="18" xfId="0" applyFill="1" applyBorder="1"/>
    <xf numFmtId="3" fontId="0" fillId="34" borderId="18" xfId="0" applyNumberFormat="1" applyFill="1" applyBorder="1"/>
    <xf numFmtId="0" fontId="15" fillId="35" borderId="18" xfId="0" applyFont="1" applyFill="1" applyBorder="1" applyAlignment="1">
      <alignment vertical="center"/>
    </xf>
    <xf numFmtId="0" fontId="15" fillId="35" borderId="18" xfId="0" applyFont="1" applyFill="1" applyBorder="1" applyAlignment="1">
      <alignment vertical="center" wrapText="1"/>
    </xf>
    <xf numFmtId="0" fontId="0" fillId="35" borderId="18" xfId="0" applyFill="1" applyBorder="1"/>
    <xf numFmtId="165" fontId="0" fillId="35" borderId="18" xfId="0" applyNumberFormat="1" applyFill="1" applyBorder="1"/>
    <xf numFmtId="0" fontId="15" fillId="35" borderId="19" xfId="0" applyFont="1" applyFill="1" applyBorder="1" applyAlignment="1">
      <alignment vertical="center"/>
    </xf>
    <xf numFmtId="0" fontId="15" fillId="35" borderId="19" xfId="0" applyFont="1" applyFill="1" applyBorder="1" applyAlignment="1">
      <alignment vertical="center" wrapText="1"/>
    </xf>
    <xf numFmtId="0" fontId="15" fillId="35" borderId="19" xfId="0" applyFont="1" applyFill="1" applyBorder="1" applyAlignment="1">
      <alignment horizontal="right" vertical="center"/>
    </xf>
    <xf numFmtId="0" fontId="15" fillId="33" borderId="10" xfId="0" applyFont="1" applyFill="1" applyBorder="1"/>
    <xf numFmtId="0" fontId="15" fillId="34" borderId="10" xfId="0" applyFont="1" applyFill="1" applyBorder="1"/>
    <xf numFmtId="0" fontId="15" fillId="35" borderId="10" xfId="0" applyFont="1" applyFill="1" applyBorder="1"/>
    <xf numFmtId="164" fontId="0" fillId="35" borderId="18" xfId="0" applyNumberFormat="1" applyFill="1" applyBorder="1"/>
    <xf numFmtId="0" fontId="15" fillId="35" borderId="18" xfId="0" applyFont="1" applyFill="1" applyBorder="1"/>
    <xf numFmtId="165" fontId="15" fillId="35" borderId="18" xfId="0" applyNumberFormat="1" applyFont="1" applyFill="1" applyBorder="1"/>
    <xf numFmtId="0" fontId="15" fillId="35" borderId="18" xfId="0" applyFont="1" applyFill="1" applyBorder="1" applyAlignment="1">
      <alignment horizontal="right" vertical="center" wrapText="1"/>
    </xf>
    <xf numFmtId="0" fontId="18" fillId="35" borderId="13" xfId="0" applyFont="1" applyFill="1" applyBorder="1" applyAlignment="1">
      <alignment horizontal="left" wrapText="1"/>
    </xf>
    <xf numFmtId="0" fontId="18" fillId="35" borderId="0" xfId="0" applyFont="1" applyFill="1" applyBorder="1" applyAlignment="1">
      <alignment horizontal="left" wrapText="1"/>
    </xf>
    <xf numFmtId="0" fontId="18" fillId="35" borderId="14" xfId="0" applyFont="1" applyFill="1" applyBorder="1" applyAlignment="1">
      <alignment horizontal="left" wrapText="1"/>
    </xf>
    <xf numFmtId="0" fontId="20" fillId="36" borderId="18" xfId="0" applyNumberFormat="1" applyFont="1" applyFill="1" applyBorder="1" applyAlignment="1" applyProtection="1">
      <alignment horizontal="center" vertical="center" wrapText="1"/>
    </xf>
    <xf numFmtId="166" fontId="20" fillId="36" borderId="18" xfId="0" applyNumberFormat="1" applyFont="1" applyFill="1" applyBorder="1" applyAlignment="1" applyProtection="1">
      <alignment horizontal="center" vertical="center" wrapText="1"/>
    </xf>
    <xf numFmtId="3" fontId="20" fillId="36" borderId="18" xfId="0" applyNumberFormat="1" applyFont="1" applyFill="1" applyBorder="1" applyAlignment="1" applyProtection="1">
      <alignment horizontal="center" vertical="center" wrapText="1"/>
    </xf>
    <xf numFmtId="0" fontId="21" fillId="36" borderId="18" xfId="0" applyNumberFormat="1" applyFont="1" applyFill="1" applyBorder="1" applyAlignment="1" applyProtection="1">
      <alignment horizontal="center" wrapText="1"/>
    </xf>
    <xf numFmtId="0" fontId="21" fillId="36" borderId="18" xfId="0" applyNumberFormat="1" applyFont="1" applyFill="1" applyBorder="1" applyAlignment="1" applyProtection="1">
      <alignment horizontal="right" wrapText="1"/>
    </xf>
    <xf numFmtId="0" fontId="21" fillId="36" borderId="18" xfId="0" applyNumberFormat="1" applyFont="1" applyFill="1" applyBorder="1" applyAlignment="1" applyProtection="1">
      <alignment horizontal="left" wrapText="1"/>
    </xf>
    <xf numFmtId="166" fontId="21" fillId="36" borderId="18" xfId="0" applyNumberFormat="1" applyFont="1" applyFill="1" applyBorder="1" applyAlignment="1" applyProtection="1">
      <alignment horizontal="right" wrapText="1"/>
    </xf>
    <xf numFmtId="3" fontId="21" fillId="36" borderId="18" xfId="0" applyNumberFormat="1" applyFont="1" applyFill="1" applyBorder="1" applyAlignment="1" applyProtection="1">
      <alignment horizontal="right" wrapText="1"/>
    </xf>
    <xf numFmtId="43" fontId="0" fillId="36" borderId="0" xfId="1" applyFont="1" applyFill="1" applyBorder="1"/>
    <xf numFmtId="0" fontId="0" fillId="36" borderId="0" xfId="0" applyFont="1" applyFill="1" applyBorder="1"/>
    <xf numFmtId="0" fontId="0" fillId="36" borderId="16" xfId="0" applyFont="1" applyFill="1" applyBorder="1"/>
    <xf numFmtId="0" fontId="15" fillId="36" borderId="10" xfId="0" applyFont="1" applyFill="1" applyBorder="1"/>
    <xf numFmtId="0" fontId="0" fillId="36" borderId="11" xfId="0" applyFont="1" applyFill="1" applyBorder="1"/>
    <xf numFmtId="0" fontId="0" fillId="36" borderId="13" xfId="0" applyFont="1" applyFill="1" applyBorder="1"/>
    <xf numFmtId="0" fontId="20" fillId="36" borderId="20" xfId="0" applyNumberFormat="1" applyFont="1" applyFill="1" applyBorder="1" applyAlignment="1" applyProtection="1">
      <alignment horizontal="center" vertical="center" wrapText="1"/>
    </xf>
    <xf numFmtId="0" fontId="20" fillId="36" borderId="22" xfId="0" applyNumberFormat="1" applyFont="1" applyFill="1" applyBorder="1" applyAlignment="1" applyProtection="1">
      <alignment horizontal="center" vertical="center" wrapText="1"/>
    </xf>
    <xf numFmtId="0" fontId="20" fillId="36" borderId="21" xfId="0" applyNumberFormat="1" applyFont="1" applyFill="1" applyBorder="1" applyAlignment="1" applyProtection="1">
      <alignment horizontal="center" vertical="center" wrapText="1"/>
    </xf>
    <xf numFmtId="0" fontId="0" fillId="37" borderId="0" xfId="0" applyFill="1"/>
    <xf numFmtId="0" fontId="0" fillId="37" borderId="18" xfId="0" applyFill="1" applyBorder="1"/>
    <xf numFmtId="0" fontId="15" fillId="37" borderId="18" xfId="0" applyFont="1" applyFill="1" applyBorder="1" applyAlignment="1">
      <alignment vertical="center"/>
    </xf>
    <xf numFmtId="0" fontId="15" fillId="37" borderId="18" xfId="0" applyFont="1" applyFill="1" applyBorder="1" applyAlignment="1">
      <alignment vertical="center" wrapText="1"/>
    </xf>
    <xf numFmtId="0" fontId="0" fillId="37" borderId="10" xfId="0" applyFill="1" applyBorder="1"/>
    <xf numFmtId="0" fontId="0" fillId="37" borderId="11" xfId="0" applyFill="1" applyBorder="1"/>
    <xf numFmtId="0" fontId="0" fillId="37" borderId="12" xfId="0" applyFill="1" applyBorder="1"/>
    <xf numFmtId="0" fontId="0" fillId="37" borderId="13" xfId="0" applyFill="1" applyBorder="1"/>
    <xf numFmtId="0" fontId="0" fillId="37" borderId="0" xfId="0" applyFill="1" applyBorder="1"/>
    <xf numFmtId="0" fontId="0" fillId="37" borderId="14" xfId="0" applyFill="1" applyBorder="1"/>
    <xf numFmtId="0" fontId="15" fillId="37" borderId="18" xfId="0" applyFont="1" applyFill="1" applyBorder="1" applyAlignment="1">
      <alignment horizontal="right" vertical="center"/>
    </xf>
    <xf numFmtId="0" fontId="15" fillId="37" borderId="18" xfId="0" applyFont="1" applyFill="1" applyBorder="1"/>
    <xf numFmtId="3" fontId="0" fillId="37" borderId="18" xfId="0" applyNumberFormat="1" applyFill="1" applyBorder="1"/>
    <xf numFmtId="0" fontId="0" fillId="38" borderId="0" xfId="0" applyFill="1" applyBorder="1"/>
    <xf numFmtId="0" fontId="15" fillId="38" borderId="18" xfId="0" applyFont="1" applyFill="1" applyBorder="1" applyAlignment="1">
      <alignment vertical="center" wrapText="1"/>
    </xf>
    <xf numFmtId="0" fontId="0" fillId="38" borderId="18" xfId="0" applyFill="1" applyBorder="1"/>
    <xf numFmtId="3" fontId="0" fillId="38" borderId="18" xfId="0" applyNumberFormat="1" applyFill="1" applyBorder="1"/>
    <xf numFmtId="3" fontId="17" fillId="38" borderId="18" xfId="0" applyNumberFormat="1" applyFont="1" applyFill="1" applyBorder="1"/>
    <xf numFmtId="3" fontId="0" fillId="38" borderId="18" xfId="0" applyNumberFormat="1" applyFont="1" applyFill="1" applyBorder="1"/>
    <xf numFmtId="3" fontId="17" fillId="38" borderId="18" xfId="0" quotePrefix="1" applyNumberFormat="1" applyFont="1" applyFill="1" applyBorder="1" applyAlignment="1">
      <alignment horizontal="right"/>
    </xf>
    <xf numFmtId="0" fontId="0" fillId="38" borderId="18" xfId="0" applyFill="1" applyBorder="1" applyAlignment="1">
      <alignment vertical="center" wrapText="1"/>
    </xf>
    <xf numFmtId="0" fontId="0" fillId="38" borderId="18" xfId="0" applyFill="1" applyBorder="1" applyAlignment="1">
      <alignment vertical="center"/>
    </xf>
    <xf numFmtId="3" fontId="17" fillId="38" borderId="18" xfId="0" applyNumberFormat="1" applyFont="1" applyFill="1" applyBorder="1" applyAlignment="1">
      <alignment vertical="center"/>
    </xf>
    <xf numFmtId="0" fontId="15" fillId="38" borderId="10" xfId="0" applyFont="1" applyFill="1" applyBorder="1"/>
    <xf numFmtId="0" fontId="0" fillId="38" borderId="11" xfId="0" applyFill="1" applyBorder="1"/>
    <xf numFmtId="0" fontId="0" fillId="38" borderId="12" xfId="0" applyFill="1" applyBorder="1"/>
    <xf numFmtId="0" fontId="0" fillId="38" borderId="13" xfId="0" applyFill="1" applyBorder="1"/>
    <xf numFmtId="0" fontId="0" fillId="38" borderId="14" xfId="0" applyFill="1" applyBorder="1"/>
    <xf numFmtId="3" fontId="0" fillId="38" borderId="0" xfId="0" applyNumberFormat="1" applyFill="1" applyBorder="1"/>
    <xf numFmtId="3" fontId="0" fillId="38" borderId="14" xfId="0" applyNumberFormat="1" applyFill="1" applyBorder="1"/>
    <xf numFmtId="3" fontId="17" fillId="38" borderId="0" xfId="0" applyNumberFormat="1" applyFont="1" applyFill="1" applyBorder="1"/>
    <xf numFmtId="3" fontId="17" fillId="38" borderId="14" xfId="0" applyNumberFormat="1" applyFont="1" applyFill="1" applyBorder="1"/>
    <xf numFmtId="170" fontId="17" fillId="38" borderId="18" xfId="0" applyNumberFormat="1" applyFont="1" applyFill="1" applyBorder="1" applyAlignment="1">
      <alignment horizontal="right" vertical="center"/>
    </xf>
    <xf numFmtId="2" fontId="17" fillId="38" borderId="18" xfId="0" applyNumberFormat="1" applyFont="1" applyFill="1" applyBorder="1"/>
    <xf numFmtId="0" fontId="17" fillId="38" borderId="0" xfId="0" applyFont="1" applyFill="1" applyBorder="1"/>
    <xf numFmtId="0" fontId="17" fillId="38" borderId="14" xfId="0" applyFont="1" applyFill="1" applyBorder="1"/>
    <xf numFmtId="2" fontId="17" fillId="38" borderId="18" xfId="0" applyNumberFormat="1" applyFont="1" applyFill="1" applyBorder="1" applyAlignment="1">
      <alignment vertical="center"/>
    </xf>
    <xf numFmtId="0" fontId="15" fillId="38" borderId="18" xfId="0" applyFont="1" applyFill="1" applyBorder="1" applyAlignment="1">
      <alignment horizontal="center"/>
    </xf>
    <xf numFmtId="0" fontId="15" fillId="38" borderId="13" xfId="0" applyFont="1" applyFill="1" applyBorder="1"/>
    <xf numFmtId="3" fontId="15" fillId="38" borderId="18" xfId="0" applyNumberFormat="1" applyFont="1" applyFill="1" applyBorder="1" applyAlignment="1">
      <alignment horizontal="center" wrapText="1"/>
    </xf>
  </cellXfs>
  <cellStyles count="43">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37" xr:uid="{00000000-0005-0000-0000-00002F000000}"/>
    <cellStyle name="60% - Accent2 2" xfId="38" xr:uid="{00000000-0005-0000-0000-000030000000}"/>
    <cellStyle name="60% - Accent3 2" xfId="39" xr:uid="{00000000-0005-0000-0000-000031000000}"/>
    <cellStyle name="60% - Accent4 2" xfId="40" xr:uid="{00000000-0005-0000-0000-000032000000}"/>
    <cellStyle name="60% - Accent5 2" xfId="41" xr:uid="{00000000-0005-0000-0000-000033000000}"/>
    <cellStyle name="60% - Accent6 2" xfId="42" xr:uid="{00000000-0005-0000-0000-000034000000}"/>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8" builtinId="27" customBuiltin="1"/>
    <cellStyle name="Calculation" xfId="11" builtinId="22" customBuiltin="1"/>
    <cellStyle name="Check Cell" xfId="13" builtinId="23" customBuiltin="1"/>
    <cellStyle name="Comma" xfId="1"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2" xfId="36" xr:uid="{00000000-0005-0000-0000-000035000000}"/>
    <cellStyle name="Normal" xfId="0" builtinId="0"/>
    <cellStyle name="Note" xfId="15" builtinId="10" customBuiltin="1"/>
    <cellStyle name="Output" xfId="10" builtinId="21" customBuiltin="1"/>
    <cellStyle name="Title" xfId="2"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C7CD9-5B23-483A-BAE6-BCA7E9343B38}">
  <dimension ref="A1:A3"/>
  <sheetViews>
    <sheetView workbookViewId="0"/>
  </sheetViews>
  <sheetFormatPr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F703D-8D63-4A6F-A935-F5E0B5EA548F}">
  <dimension ref="A1:X65"/>
  <sheetViews>
    <sheetView topLeftCell="A25" workbookViewId="0">
      <selection activeCell="L45" sqref="L45"/>
    </sheetView>
  </sheetViews>
  <sheetFormatPr defaultRowHeight="15" x14ac:dyDescent="0.25"/>
  <cols>
    <col min="1" max="1" width="9.42578125" bestFit="1" customWidth="1"/>
    <col min="2" max="2" width="62.42578125" bestFit="1" customWidth="1"/>
    <col min="3" max="4" width="23.5703125" customWidth="1"/>
    <col min="5" max="5" width="47.140625" customWidth="1"/>
    <col min="6" max="8" width="20.140625" customWidth="1"/>
    <col min="10" max="10" width="10.7109375" bestFit="1" customWidth="1"/>
    <col min="11" max="12" width="9.42578125" bestFit="1" customWidth="1"/>
    <col min="13" max="13" width="10.7109375" bestFit="1" customWidth="1"/>
    <col min="14" max="14" width="10.140625" bestFit="1" customWidth="1"/>
    <col min="15" max="21" width="9.42578125" bestFit="1" customWidth="1"/>
    <col min="22" max="22" width="10.7109375" bestFit="1" customWidth="1"/>
    <col min="23" max="23" width="10.140625" bestFit="1" customWidth="1"/>
    <col min="24" max="24" width="9.42578125" bestFit="1" customWidth="1"/>
  </cols>
  <sheetData>
    <row r="1" spans="1:5" x14ac:dyDescent="0.25">
      <c r="A1" s="37" t="s">
        <v>50</v>
      </c>
      <c r="B1" s="1"/>
      <c r="C1" s="1"/>
      <c r="D1" s="1"/>
      <c r="E1" s="2"/>
    </row>
    <row r="2" spans="1:5" x14ac:dyDescent="0.25">
      <c r="A2" s="3" t="s">
        <v>97</v>
      </c>
      <c r="B2" s="4"/>
      <c r="C2" s="4"/>
      <c r="D2" s="4"/>
      <c r="E2" s="5"/>
    </row>
    <row r="3" spans="1:5" x14ac:dyDescent="0.25">
      <c r="A3" s="3"/>
      <c r="B3" s="4"/>
      <c r="C3" s="4"/>
      <c r="D3" s="4"/>
      <c r="E3" s="5"/>
    </row>
    <row r="4" spans="1:5" x14ac:dyDescent="0.25">
      <c r="A4" s="16" t="s">
        <v>0</v>
      </c>
      <c r="B4" s="16" t="s">
        <v>1</v>
      </c>
      <c r="C4" s="17" t="s">
        <v>2</v>
      </c>
      <c r="D4" s="18" t="s">
        <v>37</v>
      </c>
      <c r="E4" s="16" t="s">
        <v>3</v>
      </c>
    </row>
    <row r="5" spans="1:5" x14ac:dyDescent="0.25">
      <c r="A5" s="19">
        <v>1</v>
      </c>
      <c r="B5" s="19" t="s">
        <v>4</v>
      </c>
      <c r="C5" s="19" t="s">
        <v>5</v>
      </c>
      <c r="D5" s="20">
        <v>43996195</v>
      </c>
      <c r="E5" s="21" t="s">
        <v>6</v>
      </c>
    </row>
    <row r="6" spans="1:5" x14ac:dyDescent="0.25">
      <c r="A6" s="19">
        <v>2</v>
      </c>
      <c r="B6" s="19" t="s">
        <v>7</v>
      </c>
      <c r="C6" s="19" t="s">
        <v>8</v>
      </c>
      <c r="D6" s="20">
        <v>425561</v>
      </c>
      <c r="E6" s="21"/>
    </row>
    <row r="7" spans="1:5" x14ac:dyDescent="0.25">
      <c r="A7" s="19">
        <v>3</v>
      </c>
      <c r="B7" s="19" t="s">
        <v>9</v>
      </c>
      <c r="C7" s="19" t="s">
        <v>10</v>
      </c>
      <c r="D7" s="22">
        <f>D5/D6</f>
        <v>103.38399195414993</v>
      </c>
      <c r="E7" s="21" t="s">
        <v>11</v>
      </c>
    </row>
    <row r="8" spans="1:5" x14ac:dyDescent="0.25">
      <c r="A8" s="19"/>
      <c r="B8" s="19"/>
      <c r="C8" s="19"/>
      <c r="D8" s="19"/>
      <c r="E8" s="21"/>
    </row>
    <row r="9" spans="1:5" x14ac:dyDescent="0.25">
      <c r="A9" s="19">
        <v>4</v>
      </c>
      <c r="B9" s="19" t="s">
        <v>12</v>
      </c>
      <c r="C9" s="19" t="s">
        <v>10</v>
      </c>
      <c r="D9" s="19">
        <v>25.6</v>
      </c>
      <c r="E9" s="21" t="s">
        <v>13</v>
      </c>
    </row>
    <row r="10" spans="1:5" x14ac:dyDescent="0.25">
      <c r="A10" s="19">
        <v>5</v>
      </c>
      <c r="B10" s="19" t="s">
        <v>14</v>
      </c>
      <c r="C10" s="19" t="s">
        <v>5</v>
      </c>
      <c r="D10" s="20">
        <v>33356380</v>
      </c>
      <c r="E10" s="21" t="s">
        <v>15</v>
      </c>
    </row>
    <row r="11" spans="1:5" x14ac:dyDescent="0.25">
      <c r="A11" s="19">
        <v>6</v>
      </c>
      <c r="B11" s="19" t="s">
        <v>16</v>
      </c>
      <c r="C11" s="19" t="s">
        <v>8</v>
      </c>
      <c r="D11" s="20">
        <v>29931168</v>
      </c>
      <c r="E11" s="21" t="s">
        <v>17</v>
      </c>
    </row>
    <row r="12" spans="1:5" x14ac:dyDescent="0.25">
      <c r="A12" s="19">
        <v>7</v>
      </c>
      <c r="B12" s="19" t="s">
        <v>18</v>
      </c>
      <c r="C12" s="19" t="s">
        <v>10</v>
      </c>
      <c r="D12" s="22">
        <f>D10/D11</f>
        <v>1.1144362959708087</v>
      </c>
      <c r="E12" s="21" t="s">
        <v>19</v>
      </c>
    </row>
    <row r="13" spans="1:5" x14ac:dyDescent="0.25">
      <c r="A13" s="19">
        <v>8</v>
      </c>
      <c r="B13" s="19" t="s">
        <v>20</v>
      </c>
      <c r="C13" s="19" t="s">
        <v>10</v>
      </c>
      <c r="D13" s="22">
        <f>D9+D12</f>
        <v>26.71443629597081</v>
      </c>
      <c r="E13" s="21" t="s">
        <v>21</v>
      </c>
    </row>
    <row r="14" spans="1:5" x14ac:dyDescent="0.25">
      <c r="A14" s="19"/>
      <c r="B14" s="19"/>
      <c r="C14" s="19"/>
      <c r="D14" s="19"/>
      <c r="E14" s="21"/>
    </row>
    <row r="15" spans="1:5" x14ac:dyDescent="0.25">
      <c r="A15" s="19">
        <v>9</v>
      </c>
      <c r="B15" s="19" t="s">
        <v>22</v>
      </c>
      <c r="C15" s="19" t="s">
        <v>5</v>
      </c>
      <c r="D15" s="20">
        <v>40464368</v>
      </c>
      <c r="E15" s="21" t="s">
        <v>23</v>
      </c>
    </row>
    <row r="16" spans="1:5" x14ac:dyDescent="0.25">
      <c r="A16" s="19">
        <v>10</v>
      </c>
      <c r="B16" s="19" t="s">
        <v>16</v>
      </c>
      <c r="C16" s="19" t="s">
        <v>8</v>
      </c>
      <c r="D16" s="20">
        <v>29931168</v>
      </c>
      <c r="E16" s="21" t="s">
        <v>24</v>
      </c>
    </row>
    <row r="17" spans="1:5" x14ac:dyDescent="0.25">
      <c r="A17" s="19">
        <v>11</v>
      </c>
      <c r="B17" s="19" t="s">
        <v>25</v>
      </c>
      <c r="C17" s="19" t="s">
        <v>10</v>
      </c>
      <c r="D17" s="22">
        <f>D15/D16</f>
        <v>1.3519140983739759</v>
      </c>
      <c r="E17" s="21" t="s">
        <v>26</v>
      </c>
    </row>
    <row r="18" spans="1:5" x14ac:dyDescent="0.25">
      <c r="A18" s="19">
        <v>12</v>
      </c>
      <c r="B18" s="19" t="s">
        <v>27</v>
      </c>
      <c r="C18" s="19" t="s">
        <v>28</v>
      </c>
      <c r="D18" s="23">
        <f>D17/D13</f>
        <v>5.0606124845609321E-2</v>
      </c>
      <c r="E18" s="21" t="s">
        <v>29</v>
      </c>
    </row>
    <row r="20" spans="1:5" x14ac:dyDescent="0.25">
      <c r="A20" s="38" t="s">
        <v>30</v>
      </c>
      <c r="B20" s="6"/>
      <c r="C20" s="6"/>
      <c r="D20" s="6"/>
      <c r="E20" s="7"/>
    </row>
    <row r="21" spans="1:5" x14ac:dyDescent="0.25">
      <c r="A21" s="8" t="s">
        <v>97</v>
      </c>
      <c r="B21" s="9"/>
      <c r="C21" s="9"/>
      <c r="D21" s="9"/>
      <c r="E21" s="10"/>
    </row>
    <row r="22" spans="1:5" x14ac:dyDescent="0.25">
      <c r="A22" s="8"/>
      <c r="B22" s="9"/>
      <c r="C22" s="9"/>
      <c r="D22" s="9"/>
      <c r="E22" s="10"/>
    </row>
    <row r="23" spans="1:5" x14ac:dyDescent="0.25">
      <c r="A23" s="24" t="s">
        <v>0</v>
      </c>
      <c r="B23" s="24" t="s">
        <v>1</v>
      </c>
      <c r="C23" s="25" t="s">
        <v>2</v>
      </c>
      <c r="D23" s="26" t="s">
        <v>37</v>
      </c>
      <c r="E23" s="27"/>
    </row>
    <row r="24" spans="1:5" x14ac:dyDescent="0.25">
      <c r="A24" s="28">
        <v>6</v>
      </c>
      <c r="B24" s="28" t="s">
        <v>32</v>
      </c>
      <c r="C24" s="28" t="s">
        <v>5</v>
      </c>
      <c r="D24" s="29">
        <v>43996195</v>
      </c>
      <c r="E24" s="28"/>
    </row>
    <row r="25" spans="1:5" x14ac:dyDescent="0.25">
      <c r="A25" s="28">
        <v>8</v>
      </c>
      <c r="B25" s="28" t="s">
        <v>33</v>
      </c>
      <c r="C25" s="28" t="s">
        <v>8</v>
      </c>
      <c r="D25" s="29">
        <v>29931168</v>
      </c>
      <c r="E25" s="28"/>
    </row>
    <row r="26" spans="1:5" x14ac:dyDescent="0.25">
      <c r="A26" s="28">
        <v>9</v>
      </c>
      <c r="B26" s="28" t="s">
        <v>34</v>
      </c>
      <c r="C26" s="28" t="s">
        <v>8</v>
      </c>
      <c r="D26" s="29">
        <v>41223700</v>
      </c>
      <c r="E26" s="28"/>
    </row>
    <row r="27" spans="1:5" x14ac:dyDescent="0.25">
      <c r="A27" s="28">
        <v>13</v>
      </c>
      <c r="B27" s="28" t="s">
        <v>35</v>
      </c>
      <c r="C27" s="28" t="s">
        <v>5</v>
      </c>
      <c r="D27" s="29">
        <v>7736220</v>
      </c>
      <c r="E27" s="28"/>
    </row>
    <row r="28" spans="1:5" x14ac:dyDescent="0.25">
      <c r="A28" s="28">
        <v>15</v>
      </c>
      <c r="B28" s="28" t="s">
        <v>36</v>
      </c>
      <c r="C28" s="28" t="s">
        <v>5</v>
      </c>
      <c r="D28" s="29">
        <v>628232</v>
      </c>
      <c r="E28" s="28"/>
    </row>
    <row r="30" spans="1:5" x14ac:dyDescent="0.25">
      <c r="A30" s="39" t="s">
        <v>51</v>
      </c>
      <c r="B30" s="11"/>
      <c r="C30" s="11"/>
      <c r="D30" s="11"/>
      <c r="E30" s="12"/>
    </row>
    <row r="31" spans="1:5" x14ac:dyDescent="0.25">
      <c r="A31" s="13"/>
      <c r="B31" s="14"/>
      <c r="C31" s="14"/>
      <c r="D31" s="14"/>
      <c r="E31" s="15"/>
    </row>
    <row r="32" spans="1:5" x14ac:dyDescent="0.25">
      <c r="A32" s="34" t="s">
        <v>0</v>
      </c>
      <c r="B32" s="34" t="s">
        <v>1</v>
      </c>
      <c r="C32" s="35" t="s">
        <v>2</v>
      </c>
      <c r="D32" s="36" t="s">
        <v>37</v>
      </c>
      <c r="E32" s="34" t="s">
        <v>3</v>
      </c>
    </row>
    <row r="33" spans="1:8" x14ac:dyDescent="0.25">
      <c r="A33" s="32">
        <v>6</v>
      </c>
      <c r="B33" s="32" t="s">
        <v>38</v>
      </c>
      <c r="C33" s="32" t="s">
        <v>39</v>
      </c>
      <c r="D33" s="33">
        <v>2.8799999999999999E-2</v>
      </c>
      <c r="E33" s="32" t="s">
        <v>40</v>
      </c>
    </row>
    <row r="34" spans="1:8" x14ac:dyDescent="0.25">
      <c r="A34" s="32">
        <f>A33+1</f>
        <v>7</v>
      </c>
      <c r="B34" s="32" t="s">
        <v>41</v>
      </c>
      <c r="C34" s="32" t="s">
        <v>39</v>
      </c>
      <c r="D34" s="33">
        <v>1.2999999999999999E-3</v>
      </c>
      <c r="E34" s="32" t="s">
        <v>40</v>
      </c>
    </row>
    <row r="35" spans="1:8" x14ac:dyDescent="0.25">
      <c r="A35" s="32">
        <f t="shared" ref="A35:A40" si="0">A34+1</f>
        <v>8</v>
      </c>
      <c r="B35" s="32" t="s">
        <v>42</v>
      </c>
      <c r="C35" s="32" t="s">
        <v>39</v>
      </c>
      <c r="D35" s="33">
        <v>3.3E-3</v>
      </c>
      <c r="E35" s="32" t="s">
        <v>40</v>
      </c>
    </row>
    <row r="36" spans="1:8" x14ac:dyDescent="0.25">
      <c r="A36" s="32">
        <f t="shared" si="0"/>
        <v>9</v>
      </c>
      <c r="B36" s="32" t="s">
        <v>43</v>
      </c>
      <c r="C36" s="32" t="s">
        <v>39</v>
      </c>
      <c r="D36" s="33">
        <v>2.3699999999999999E-2</v>
      </c>
      <c r="E36" s="32" t="s">
        <v>40</v>
      </c>
    </row>
    <row r="37" spans="1:8" x14ac:dyDescent="0.25">
      <c r="A37" s="32">
        <f t="shared" si="0"/>
        <v>10</v>
      </c>
      <c r="B37" s="32" t="s">
        <v>44</v>
      </c>
      <c r="C37" s="32" t="s">
        <v>39</v>
      </c>
      <c r="D37" s="33">
        <v>1.9E-3</v>
      </c>
      <c r="E37" s="32" t="s">
        <v>40</v>
      </c>
    </row>
    <row r="38" spans="1:8" x14ac:dyDescent="0.25">
      <c r="A38" s="32">
        <f t="shared" si="0"/>
        <v>11</v>
      </c>
      <c r="B38" s="32" t="s">
        <v>45</v>
      </c>
      <c r="C38" s="32" t="s">
        <v>39</v>
      </c>
      <c r="D38" s="33">
        <v>1.8200000000000001E-2</v>
      </c>
      <c r="E38" s="32" t="s">
        <v>40</v>
      </c>
    </row>
    <row r="39" spans="1:8" x14ac:dyDescent="0.25">
      <c r="A39" s="32">
        <f t="shared" si="0"/>
        <v>12</v>
      </c>
      <c r="B39" s="32" t="s">
        <v>46</v>
      </c>
      <c r="C39" s="32" t="s">
        <v>39</v>
      </c>
      <c r="D39" s="33">
        <v>8.2000000000000007E-3</v>
      </c>
      <c r="E39" s="32" t="s">
        <v>40</v>
      </c>
    </row>
    <row r="40" spans="1:8" x14ac:dyDescent="0.25">
      <c r="A40" s="32">
        <f t="shared" si="0"/>
        <v>13</v>
      </c>
      <c r="B40" s="32" t="s">
        <v>47</v>
      </c>
      <c r="C40" s="32" t="s">
        <v>39</v>
      </c>
      <c r="D40" s="33">
        <v>3.4799999999999998E-2</v>
      </c>
      <c r="E40" s="32" t="s">
        <v>40</v>
      </c>
    </row>
    <row r="41" spans="1:8" x14ac:dyDescent="0.25">
      <c r="A41" s="32">
        <v>16</v>
      </c>
      <c r="B41" s="32" t="s">
        <v>31</v>
      </c>
      <c r="C41" s="32" t="s">
        <v>39</v>
      </c>
      <c r="D41" s="33">
        <v>0.1202</v>
      </c>
      <c r="E41" s="32" t="s">
        <v>40</v>
      </c>
    </row>
    <row r="42" spans="1:8" x14ac:dyDescent="0.25">
      <c r="A42" s="32"/>
      <c r="B42" s="32"/>
      <c r="C42" s="32"/>
      <c r="D42" s="32"/>
      <c r="E42" s="32"/>
    </row>
    <row r="43" spans="1:8" x14ac:dyDescent="0.25">
      <c r="A43" s="32">
        <v>5</v>
      </c>
      <c r="B43" s="32" t="s">
        <v>48</v>
      </c>
      <c r="C43" s="32" t="s">
        <v>39</v>
      </c>
      <c r="D43" s="33">
        <v>9.7600000000000006E-2</v>
      </c>
      <c r="E43" s="32" t="s">
        <v>49</v>
      </c>
    </row>
    <row r="45" spans="1:8" x14ac:dyDescent="0.25">
      <c r="A45" s="68" t="s">
        <v>106</v>
      </c>
      <c r="B45" s="69"/>
      <c r="C45" s="69"/>
      <c r="D45" s="69"/>
      <c r="E45" s="69"/>
      <c r="F45" s="70"/>
      <c r="G45" s="64"/>
      <c r="H45" s="64"/>
    </row>
    <row r="46" spans="1:8" x14ac:dyDescent="0.25">
      <c r="A46" s="71"/>
      <c r="B46" s="72"/>
      <c r="C46" s="72"/>
      <c r="D46" s="72"/>
      <c r="E46" s="72"/>
      <c r="F46" s="73"/>
      <c r="G46" s="64"/>
      <c r="H46" s="64"/>
    </row>
    <row r="47" spans="1:8" x14ac:dyDescent="0.25">
      <c r="A47" s="65"/>
      <c r="B47" s="66" t="s">
        <v>1</v>
      </c>
      <c r="C47" s="67" t="s">
        <v>2</v>
      </c>
      <c r="D47" s="74" t="s">
        <v>31</v>
      </c>
      <c r="E47" s="65"/>
      <c r="F47" s="65"/>
      <c r="G47" s="65"/>
      <c r="H47" s="65"/>
    </row>
    <row r="48" spans="1:8" x14ac:dyDescent="0.25">
      <c r="A48" s="65"/>
      <c r="B48" s="65" t="s">
        <v>107</v>
      </c>
      <c r="C48" s="65" t="s">
        <v>109</v>
      </c>
      <c r="D48" s="65">
        <v>378</v>
      </c>
      <c r="E48" s="65"/>
      <c r="F48" s="65"/>
      <c r="G48" s="65"/>
      <c r="H48" s="65"/>
    </row>
    <row r="49" spans="1:24" x14ac:dyDescent="0.25">
      <c r="A49" s="65"/>
      <c r="B49" s="65" t="s">
        <v>108</v>
      </c>
      <c r="C49" s="65" t="s">
        <v>109</v>
      </c>
      <c r="D49" s="65">
        <v>516</v>
      </c>
      <c r="E49" s="65"/>
      <c r="F49" s="65"/>
      <c r="G49" s="65"/>
      <c r="H49" s="65"/>
    </row>
    <row r="50" spans="1:24" x14ac:dyDescent="0.25">
      <c r="A50" s="65"/>
      <c r="B50" s="65"/>
      <c r="C50" s="65"/>
      <c r="D50" s="65"/>
      <c r="E50" s="65"/>
      <c r="F50" s="65"/>
      <c r="G50" s="65"/>
      <c r="H50" s="65"/>
    </row>
    <row r="51" spans="1:24" x14ac:dyDescent="0.25">
      <c r="A51" s="65"/>
      <c r="B51" s="65"/>
      <c r="C51" s="65"/>
      <c r="D51" s="75" t="s">
        <v>110</v>
      </c>
      <c r="E51" s="75" t="s">
        <v>111</v>
      </c>
      <c r="F51" s="75" t="s">
        <v>112</v>
      </c>
      <c r="G51" s="65"/>
      <c r="H51" s="65"/>
    </row>
    <row r="52" spans="1:24" x14ac:dyDescent="0.25">
      <c r="A52" s="65"/>
      <c r="B52" s="65" t="s">
        <v>107</v>
      </c>
      <c r="C52" s="65" t="s">
        <v>113</v>
      </c>
      <c r="D52" s="65">
        <v>283</v>
      </c>
      <c r="E52" s="65">
        <v>40</v>
      </c>
      <c r="F52" s="65">
        <v>142</v>
      </c>
      <c r="G52" s="65"/>
      <c r="H52" s="65"/>
    </row>
    <row r="53" spans="1:24" x14ac:dyDescent="0.25">
      <c r="A53" s="65"/>
      <c r="B53" s="65" t="s">
        <v>114</v>
      </c>
      <c r="C53" s="65" t="s">
        <v>113</v>
      </c>
      <c r="D53" s="65">
        <v>176</v>
      </c>
      <c r="E53" s="65">
        <v>1</v>
      </c>
      <c r="F53" s="65">
        <v>0</v>
      </c>
      <c r="G53" s="65"/>
      <c r="H53" s="65"/>
    </row>
    <row r="54" spans="1:24" x14ac:dyDescent="0.25">
      <c r="A54" s="65"/>
      <c r="B54" s="65"/>
      <c r="C54" s="65"/>
      <c r="D54" s="65"/>
      <c r="E54" s="65"/>
      <c r="F54" s="65"/>
      <c r="G54" s="65"/>
      <c r="H54" s="65"/>
    </row>
    <row r="55" spans="1:24" x14ac:dyDescent="0.25">
      <c r="A55" s="65"/>
      <c r="B55" s="65"/>
      <c r="C55" s="67" t="s">
        <v>2</v>
      </c>
      <c r="D55" s="75" t="s">
        <v>117</v>
      </c>
      <c r="E55" s="75" t="s">
        <v>118</v>
      </c>
      <c r="F55" s="75" t="s">
        <v>119</v>
      </c>
      <c r="G55" s="75" t="s">
        <v>120</v>
      </c>
      <c r="H55" s="75" t="s">
        <v>31</v>
      </c>
    </row>
    <row r="56" spans="1:24" x14ac:dyDescent="0.25">
      <c r="A56" s="65"/>
      <c r="B56" s="65" t="s">
        <v>121</v>
      </c>
      <c r="C56" s="65" t="s">
        <v>122</v>
      </c>
      <c r="D56" s="76">
        <v>3920538</v>
      </c>
      <c r="E56" s="76">
        <v>448044</v>
      </c>
      <c r="F56" s="76">
        <v>32052406</v>
      </c>
      <c r="G56" s="76">
        <v>797954</v>
      </c>
      <c r="H56" s="76">
        <v>37218942</v>
      </c>
    </row>
    <row r="57" spans="1:24" x14ac:dyDescent="0.25">
      <c r="A57" s="65"/>
      <c r="B57" s="65" t="s">
        <v>123</v>
      </c>
      <c r="C57" s="65" t="s">
        <v>5</v>
      </c>
      <c r="D57" s="76">
        <v>611923</v>
      </c>
      <c r="E57" s="76">
        <v>66510</v>
      </c>
      <c r="F57" s="76">
        <v>4016473</v>
      </c>
      <c r="G57" s="76">
        <v>102648</v>
      </c>
      <c r="H57" s="76">
        <v>4797553</v>
      </c>
    </row>
    <row r="60" spans="1:24" s="59" customFormat="1" x14ac:dyDescent="0.25">
      <c r="A60" s="58" t="s">
        <v>66</v>
      </c>
    </row>
    <row r="61" spans="1:24" s="56" customFormat="1" x14ac:dyDescent="0.25">
      <c r="A61" s="60"/>
    </row>
    <row r="62" spans="1:24" s="56" customFormat="1" x14ac:dyDescent="0.25">
      <c r="A62" s="60"/>
      <c r="J62" s="61" t="s">
        <v>89</v>
      </c>
      <c r="K62" s="62"/>
      <c r="L62" s="63"/>
      <c r="M62" s="61" t="s">
        <v>90</v>
      </c>
      <c r="N62" s="62"/>
      <c r="O62" s="63"/>
      <c r="P62" s="61" t="s">
        <v>91</v>
      </c>
      <c r="Q62" s="62"/>
      <c r="R62" s="63"/>
      <c r="S62" s="61" t="s">
        <v>92</v>
      </c>
      <c r="T62" s="62"/>
      <c r="U62" s="63"/>
      <c r="V62" s="61" t="s">
        <v>93</v>
      </c>
      <c r="W62" s="62"/>
      <c r="X62" s="63"/>
    </row>
    <row r="63" spans="1:24" s="56" customFormat="1" ht="30" x14ac:dyDescent="0.25">
      <c r="A63" s="60"/>
      <c r="D63" s="55"/>
      <c r="J63" s="47" t="s">
        <v>94</v>
      </c>
      <c r="K63" s="47" t="s">
        <v>95</v>
      </c>
      <c r="L63" s="47" t="s">
        <v>96</v>
      </c>
      <c r="M63" s="47" t="s">
        <v>94</v>
      </c>
      <c r="N63" s="47" t="s">
        <v>95</v>
      </c>
      <c r="O63" s="47" t="s">
        <v>96</v>
      </c>
      <c r="P63" s="47" t="s">
        <v>94</v>
      </c>
      <c r="Q63" s="47" t="s">
        <v>95</v>
      </c>
      <c r="R63" s="47" t="s">
        <v>96</v>
      </c>
      <c r="S63" s="47" t="s">
        <v>94</v>
      </c>
      <c r="T63" s="47" t="s">
        <v>95</v>
      </c>
      <c r="U63" s="47" t="s">
        <v>96</v>
      </c>
      <c r="V63" s="47" t="s">
        <v>94</v>
      </c>
      <c r="W63" s="47" t="s">
        <v>95</v>
      </c>
      <c r="X63" s="47" t="s">
        <v>96</v>
      </c>
    </row>
    <row r="64" spans="1:24" s="56" customFormat="1" ht="105" x14ac:dyDescent="0.25">
      <c r="A64" s="47" t="s">
        <v>74</v>
      </c>
      <c r="B64" s="47" t="s">
        <v>75</v>
      </c>
      <c r="C64" s="47" t="s">
        <v>76</v>
      </c>
      <c r="D64" s="47" t="s">
        <v>77</v>
      </c>
      <c r="E64" s="47" t="s">
        <v>78</v>
      </c>
      <c r="F64" s="47" t="s">
        <v>79</v>
      </c>
      <c r="G64" s="47" t="s">
        <v>80</v>
      </c>
      <c r="H64" s="47" t="s">
        <v>81</v>
      </c>
      <c r="I64" s="47" t="s">
        <v>82</v>
      </c>
      <c r="J64" s="48" t="s">
        <v>83</v>
      </c>
      <c r="K64" s="49" t="s">
        <v>84</v>
      </c>
      <c r="L64" s="49" t="s">
        <v>85</v>
      </c>
      <c r="M64" s="48" t="s">
        <v>83</v>
      </c>
      <c r="N64" s="49" t="s">
        <v>84</v>
      </c>
      <c r="O64" s="49" t="s">
        <v>85</v>
      </c>
      <c r="P64" s="48" t="s">
        <v>83</v>
      </c>
      <c r="Q64" s="49" t="s">
        <v>84</v>
      </c>
      <c r="R64" s="49" t="s">
        <v>85</v>
      </c>
      <c r="S64" s="48" t="s">
        <v>83</v>
      </c>
      <c r="T64" s="49" t="s">
        <v>84</v>
      </c>
      <c r="U64" s="49" t="s">
        <v>85</v>
      </c>
      <c r="V64" s="48" t="s">
        <v>83</v>
      </c>
      <c r="W64" s="49" t="s">
        <v>84</v>
      </c>
      <c r="X64" s="49" t="s">
        <v>85</v>
      </c>
    </row>
    <row r="65" spans="1:24" s="57" customFormat="1" ht="30" x14ac:dyDescent="0.25">
      <c r="A65" s="50">
        <v>2017</v>
      </c>
      <c r="B65" s="51">
        <v>13781</v>
      </c>
      <c r="C65" s="52" t="s">
        <v>67</v>
      </c>
      <c r="D65" s="50" t="s">
        <v>68</v>
      </c>
      <c r="E65" s="52" t="s">
        <v>69</v>
      </c>
      <c r="F65" s="50" t="s">
        <v>70</v>
      </c>
      <c r="G65" s="52" t="s">
        <v>71</v>
      </c>
      <c r="H65" s="52" t="s">
        <v>72</v>
      </c>
      <c r="I65" s="52" t="s">
        <v>73</v>
      </c>
      <c r="J65" s="53">
        <v>1159883.5</v>
      </c>
      <c r="K65" s="54">
        <v>8413242</v>
      </c>
      <c r="L65" s="54">
        <v>1140536</v>
      </c>
      <c r="M65" s="53">
        <v>1428280.8</v>
      </c>
      <c r="N65" s="54">
        <v>13219280</v>
      </c>
      <c r="O65" s="54">
        <v>138466</v>
      </c>
      <c r="P65" s="53">
        <v>634198.4</v>
      </c>
      <c r="Q65" s="54">
        <v>8090294</v>
      </c>
      <c r="R65" s="54">
        <v>504</v>
      </c>
      <c r="S65" s="53">
        <v>2291.3000000000002</v>
      </c>
      <c r="T65" s="54">
        <v>23966</v>
      </c>
      <c r="U65" s="54">
        <v>1</v>
      </c>
      <c r="V65" s="53">
        <v>3224654</v>
      </c>
      <c r="W65" s="54">
        <v>29746782</v>
      </c>
      <c r="X65" s="54">
        <v>1279507</v>
      </c>
    </row>
  </sheetData>
  <mergeCells count="5">
    <mergeCell ref="J62:L62"/>
    <mergeCell ref="M62:O62"/>
    <mergeCell ref="P62:R62"/>
    <mergeCell ref="S62:U62"/>
    <mergeCell ref="V62:X6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C8094-6F99-4C3E-A277-0ACFC12E9F0B}">
  <sheetPr>
    <pageSetUpPr fitToPage="1"/>
  </sheetPr>
  <dimension ref="A1:F52"/>
  <sheetViews>
    <sheetView tabSelected="1" topLeftCell="A2" workbookViewId="0">
      <selection activeCell="A19" sqref="A19:F52"/>
    </sheetView>
  </sheetViews>
  <sheetFormatPr defaultRowHeight="15" x14ac:dyDescent="0.25"/>
  <cols>
    <col min="1" max="1" width="53" customWidth="1"/>
    <col min="2" max="2" width="23" customWidth="1"/>
    <col min="3" max="6" width="18.85546875" customWidth="1"/>
  </cols>
  <sheetData>
    <row r="1" spans="1:4" x14ac:dyDescent="0.25">
      <c r="A1" s="39" t="s">
        <v>65</v>
      </c>
      <c r="B1" s="11"/>
      <c r="C1" s="11"/>
      <c r="D1" s="12"/>
    </row>
    <row r="2" spans="1:4" ht="51.95" customHeight="1" x14ac:dyDescent="0.25">
      <c r="A2" s="44" t="s">
        <v>52</v>
      </c>
      <c r="B2" s="45"/>
      <c r="C2" s="45"/>
      <c r="D2" s="46"/>
    </row>
    <row r="3" spans="1:4" x14ac:dyDescent="0.25">
      <c r="A3" s="13"/>
      <c r="B3" s="14"/>
      <c r="C3" s="14"/>
      <c r="D3" s="15"/>
    </row>
    <row r="4" spans="1:4" ht="30" x14ac:dyDescent="0.25">
      <c r="A4" s="30" t="s">
        <v>53</v>
      </c>
      <c r="B4" s="31" t="s">
        <v>2</v>
      </c>
      <c r="C4" s="43" t="s">
        <v>37</v>
      </c>
      <c r="D4" s="43" t="s">
        <v>64</v>
      </c>
    </row>
    <row r="5" spans="1:4" x14ac:dyDescent="0.25">
      <c r="A5" s="32" t="s">
        <v>54</v>
      </c>
      <c r="B5" s="32" t="s">
        <v>39</v>
      </c>
      <c r="C5" s="33">
        <f>'Data Inputs'!D$43*'Data Inputs'!D33/'Data Inputs'!D$41</f>
        <v>2.338502495840266E-2</v>
      </c>
      <c r="D5" s="40">
        <f>C5/C$13</f>
        <v>0.23960066555740428</v>
      </c>
    </row>
    <row r="6" spans="1:4" x14ac:dyDescent="0.25">
      <c r="A6" s="32" t="s">
        <v>55</v>
      </c>
      <c r="B6" s="32" t="s">
        <v>39</v>
      </c>
      <c r="C6" s="33">
        <f>'Data Inputs'!D$43*'Data Inputs'!D34/'Data Inputs'!D$41</f>
        <v>1.0555740432612313E-3</v>
      </c>
      <c r="D6" s="40">
        <f t="shared" ref="D6:D17" si="0">C6/C$13</f>
        <v>1.08153078202995E-2</v>
      </c>
    </row>
    <row r="7" spans="1:4" x14ac:dyDescent="0.25">
      <c r="A7" s="32" t="s">
        <v>56</v>
      </c>
      <c r="B7" s="32" t="s">
        <v>39</v>
      </c>
      <c r="C7" s="33">
        <f>'Data Inputs'!D$43*'Data Inputs'!D35/'Data Inputs'!D$41</f>
        <v>2.6795341098169718E-3</v>
      </c>
      <c r="D7" s="40">
        <f t="shared" si="0"/>
        <v>2.7454242928452579E-2</v>
      </c>
    </row>
    <row r="8" spans="1:4" x14ac:dyDescent="0.25">
      <c r="A8" s="32" t="s">
        <v>57</v>
      </c>
      <c r="B8" s="32" t="s">
        <v>39</v>
      </c>
      <c r="C8" s="33">
        <f>'Data Inputs'!D$43*'Data Inputs'!D36/'Data Inputs'!D$41</f>
        <v>1.9243926788685525E-2</v>
      </c>
      <c r="D8" s="40">
        <f t="shared" si="0"/>
        <v>0.19717138103161397</v>
      </c>
    </row>
    <row r="9" spans="1:4" x14ac:dyDescent="0.25">
      <c r="A9" s="32" t="s">
        <v>58</v>
      </c>
      <c r="B9" s="32" t="s">
        <v>39</v>
      </c>
      <c r="C9" s="33">
        <f>'Data Inputs'!D$43*'Data Inputs'!D37/'Data Inputs'!D$41</f>
        <v>1.5427620632279535E-3</v>
      </c>
      <c r="D9" s="40">
        <f t="shared" si="0"/>
        <v>1.5806988352745424E-2</v>
      </c>
    </row>
    <row r="10" spans="1:4" x14ac:dyDescent="0.25">
      <c r="A10" s="32" t="s">
        <v>59</v>
      </c>
      <c r="B10" s="32" t="s">
        <v>39</v>
      </c>
      <c r="C10" s="33">
        <f>'Data Inputs'!D$43*'Data Inputs'!D38/'Data Inputs'!D$41</f>
        <v>1.4778036605657241E-2</v>
      </c>
      <c r="D10" s="40">
        <f t="shared" si="0"/>
        <v>0.15141430948419304</v>
      </c>
    </row>
    <row r="11" spans="1:4" x14ac:dyDescent="0.25">
      <c r="A11" s="32" t="s">
        <v>60</v>
      </c>
      <c r="B11" s="32" t="s">
        <v>39</v>
      </c>
      <c r="C11" s="33">
        <f>'Data Inputs'!D$43*'Data Inputs'!D39/'Data Inputs'!D$41</f>
        <v>6.6582362728785363E-3</v>
      </c>
      <c r="D11" s="40">
        <f t="shared" si="0"/>
        <v>6.8219633943427616E-2</v>
      </c>
    </row>
    <row r="12" spans="1:4" x14ac:dyDescent="0.25">
      <c r="A12" s="32" t="s">
        <v>61</v>
      </c>
      <c r="B12" s="32" t="s">
        <v>39</v>
      </c>
      <c r="C12" s="33">
        <f>'Data Inputs'!D$43*'Data Inputs'!D40/'Data Inputs'!D$41</f>
        <v>2.8256905158069882E-2</v>
      </c>
      <c r="D12" s="40">
        <f t="shared" si="0"/>
        <v>0.28951747088186353</v>
      </c>
    </row>
    <row r="13" spans="1:4" x14ac:dyDescent="0.25">
      <c r="A13" s="41" t="s">
        <v>31</v>
      </c>
      <c r="B13" s="41" t="s">
        <v>39</v>
      </c>
      <c r="C13" s="42">
        <f>'Data Inputs'!D$43*'Data Inputs'!D41/'Data Inputs'!D$41</f>
        <v>9.7600000000000006E-2</v>
      </c>
      <c r="D13" s="40"/>
    </row>
    <row r="14" spans="1:4" x14ac:dyDescent="0.25">
      <c r="A14" s="32"/>
      <c r="B14" s="32"/>
      <c r="C14" s="32"/>
      <c r="D14" s="40"/>
    </row>
    <row r="15" spans="1:4" x14ac:dyDescent="0.25">
      <c r="A15" s="32" t="s">
        <v>62</v>
      </c>
      <c r="B15" s="32" t="s">
        <v>39</v>
      </c>
      <c r="C15" s="33">
        <f>C5+C7</f>
        <v>2.6064559068219632E-2</v>
      </c>
      <c r="D15" s="40">
        <f t="shared" si="0"/>
        <v>0.26705490848585689</v>
      </c>
    </row>
    <row r="16" spans="1:4" x14ac:dyDescent="0.25">
      <c r="A16" s="32" t="s">
        <v>63</v>
      </c>
      <c r="B16" s="32" t="s">
        <v>39</v>
      </c>
      <c r="C16" s="33">
        <f>C6+C8+C9+C10+C11</f>
        <v>4.3278535773710491E-2</v>
      </c>
      <c r="D16" s="40">
        <f t="shared" si="0"/>
        <v>0.44342762063227958</v>
      </c>
    </row>
    <row r="17" spans="1:6" x14ac:dyDescent="0.25">
      <c r="A17" s="32" t="s">
        <v>61</v>
      </c>
      <c r="B17" s="32" t="s">
        <v>39</v>
      </c>
      <c r="C17" s="33">
        <f>C12</f>
        <v>2.8256905158069882E-2</v>
      </c>
      <c r="D17" s="40">
        <f t="shared" si="0"/>
        <v>0.28951747088186353</v>
      </c>
    </row>
    <row r="19" spans="1:6" x14ac:dyDescent="0.25">
      <c r="A19" s="87" t="s">
        <v>98</v>
      </c>
      <c r="B19" s="88"/>
      <c r="C19" s="88"/>
      <c r="D19" s="88"/>
      <c r="E19" s="88"/>
      <c r="F19" s="89"/>
    </row>
    <row r="20" spans="1:6" x14ac:dyDescent="0.25">
      <c r="A20" s="90" t="s">
        <v>103</v>
      </c>
      <c r="B20" s="77"/>
      <c r="C20" s="77"/>
      <c r="D20" s="77"/>
      <c r="E20" s="77"/>
      <c r="F20" s="91"/>
    </row>
    <row r="21" spans="1:6" x14ac:dyDescent="0.25">
      <c r="A21" s="90"/>
      <c r="B21" s="77"/>
      <c r="C21" s="77"/>
      <c r="D21" s="77"/>
      <c r="E21" s="77"/>
      <c r="F21" s="91"/>
    </row>
    <row r="22" spans="1:6" x14ac:dyDescent="0.25">
      <c r="A22" s="77"/>
      <c r="B22" s="77"/>
      <c r="C22" s="101" t="s">
        <v>140</v>
      </c>
      <c r="D22" s="101"/>
      <c r="E22" s="101"/>
      <c r="F22" s="101"/>
    </row>
    <row r="23" spans="1:6" ht="30" x14ac:dyDescent="0.25">
      <c r="A23" s="78" t="s">
        <v>1</v>
      </c>
      <c r="B23" s="78" t="s">
        <v>2</v>
      </c>
      <c r="C23" s="103" t="s">
        <v>99</v>
      </c>
      <c r="D23" s="103" t="s">
        <v>115</v>
      </c>
      <c r="E23" s="103" t="s">
        <v>100</v>
      </c>
      <c r="F23" s="103" t="s">
        <v>116</v>
      </c>
    </row>
    <row r="24" spans="1:6" x14ac:dyDescent="0.25">
      <c r="A24" s="79" t="s">
        <v>102</v>
      </c>
      <c r="B24" s="79" t="s">
        <v>8</v>
      </c>
      <c r="C24" s="80">
        <f>'Data Inputs'!D6</f>
        <v>425561</v>
      </c>
      <c r="D24" s="81">
        <f>D25*1621</f>
        <v>836436</v>
      </c>
      <c r="E24" s="81">
        <f>E25*1621</f>
        <v>1449174</v>
      </c>
      <c r="F24" s="81">
        <f>F25*1621</f>
        <v>2431500</v>
      </c>
    </row>
    <row r="25" spans="1:6" x14ac:dyDescent="0.25">
      <c r="A25" s="79" t="s">
        <v>105</v>
      </c>
      <c r="B25" s="79" t="s">
        <v>104</v>
      </c>
      <c r="C25" s="81">
        <f>C24/1621</f>
        <v>262.529919802591</v>
      </c>
      <c r="D25" s="82">
        <f>'Data Inputs'!D49</f>
        <v>516</v>
      </c>
      <c r="E25" s="82">
        <f>'Data Inputs'!D48+'Data Inputs'!D49</f>
        <v>894</v>
      </c>
      <c r="F25" s="80">
        <v>1500</v>
      </c>
    </row>
    <row r="26" spans="1:6" x14ac:dyDescent="0.25">
      <c r="A26" s="79" t="s">
        <v>101</v>
      </c>
      <c r="B26" s="79" t="s">
        <v>5</v>
      </c>
      <c r="C26" s="80">
        <f>'Data Inputs'!D5</f>
        <v>43996195</v>
      </c>
      <c r="D26" s="80"/>
      <c r="E26" s="80"/>
      <c r="F26" s="80"/>
    </row>
    <row r="27" spans="1:6" x14ac:dyDescent="0.25">
      <c r="A27" s="79" t="s">
        <v>125</v>
      </c>
      <c r="B27" s="79" t="s">
        <v>5</v>
      </c>
      <c r="C27" s="81">
        <f>C26</f>
        <v>43996195</v>
      </c>
      <c r="D27" s="81">
        <f>D24*$C26/$C24</f>
        <v>86474092.694161355</v>
      </c>
      <c r="E27" s="81">
        <f t="shared" ref="E27:F27" si="1">E24*$C26/$C24</f>
        <v>149821393.15616328</v>
      </c>
      <c r="F27" s="81">
        <f t="shared" si="1"/>
        <v>251378176.43651557</v>
      </c>
    </row>
    <row r="28" spans="1:6" x14ac:dyDescent="0.25">
      <c r="A28" s="79" t="s">
        <v>124</v>
      </c>
      <c r="B28" s="79" t="s">
        <v>5</v>
      </c>
      <c r="C28" s="83" t="s">
        <v>126</v>
      </c>
      <c r="D28" s="81">
        <f>D24*1000*'Data Inputs'!$H57/'Data Inputs'!$H56</f>
        <v>107817305.5297488</v>
      </c>
      <c r="E28" s="81">
        <f>E24*1000*'Data Inputs'!$H57/'Data Inputs'!$H56</f>
        <v>186799750.27828571</v>
      </c>
      <c r="F28" s="81">
        <f>F24*1000*'Data Inputs'!$H57/'Data Inputs'!$H56</f>
        <v>313422399.79578143</v>
      </c>
    </row>
    <row r="29" spans="1:6" x14ac:dyDescent="0.25">
      <c r="A29" s="79" t="s">
        <v>133</v>
      </c>
      <c r="B29" s="79"/>
      <c r="C29" s="83" t="s">
        <v>126</v>
      </c>
      <c r="D29" s="81">
        <f>D28</f>
        <v>107817305.5297488</v>
      </c>
      <c r="E29" s="81">
        <f>D29+(E24-D24)*'Data Inputs'!D52/SUM('Data Inputs'!D52:F52)*1000*'Data Inputs'!$H57/'Data Inputs'!$H56+(E24-D24)*(1-'Data Inputs'!D52/SUM('Data Inputs'!D52:F52))*1000*$C13</f>
        <v>179293046.40165406</v>
      </c>
      <c r="F29" s="81">
        <f>E29+(F24-E24)*1000*C13</f>
        <v>275168064.00165409</v>
      </c>
    </row>
    <row r="30" spans="1:6" x14ac:dyDescent="0.25">
      <c r="A30" s="79" t="s">
        <v>127</v>
      </c>
      <c r="B30" s="79" t="s">
        <v>5</v>
      </c>
      <c r="C30" s="81">
        <f>C24*1000*$C15</f>
        <v>11092059.821630616</v>
      </c>
      <c r="D30" s="81">
        <f>D24*1000*$C15</f>
        <v>21801335.528785355</v>
      </c>
      <c r="E30" s="81">
        <f>E24*1000*$C15</f>
        <v>37772081.323128119</v>
      </c>
      <c r="F30" s="81">
        <f>F24*1000*$C15</f>
        <v>63375975.374376036</v>
      </c>
    </row>
    <row r="31" spans="1:6" x14ac:dyDescent="0.25">
      <c r="A31" s="79" t="s">
        <v>128</v>
      </c>
      <c r="B31" s="79" t="s">
        <v>5</v>
      </c>
      <c r="C31" s="81">
        <f>C24*1000*$C16</f>
        <v>18417656.962396011</v>
      </c>
      <c r="D31" s="81">
        <f t="shared" ref="D31:F31" si="2">D24*1000*$C16</f>
        <v>36199725.348419309</v>
      </c>
      <c r="E31" s="81">
        <f t="shared" si="2"/>
        <v>62718128.801331125</v>
      </c>
      <c r="F31" s="81">
        <f t="shared" si="2"/>
        <v>105231759.73377706</v>
      </c>
    </row>
    <row r="32" spans="1:6" x14ac:dyDescent="0.25">
      <c r="A32" s="79" t="s">
        <v>129</v>
      </c>
      <c r="B32" s="79" t="s">
        <v>5</v>
      </c>
      <c r="C32" s="81">
        <f>C24*1000*$C17</f>
        <v>12025036.815973377</v>
      </c>
      <c r="D32" s="81">
        <f t="shared" ref="D32:F32" si="3">D24*1000*$C17</f>
        <v>23635092.722795341</v>
      </c>
      <c r="E32" s="81">
        <f t="shared" si="3"/>
        <v>40949172.275540762</v>
      </c>
      <c r="F32" s="81">
        <f t="shared" si="3"/>
        <v>68706664.891846925</v>
      </c>
    </row>
    <row r="33" spans="1:6" x14ac:dyDescent="0.25">
      <c r="A33" s="90"/>
      <c r="B33" s="77"/>
      <c r="C33" s="94"/>
      <c r="D33" s="94"/>
      <c r="E33" s="94"/>
      <c r="F33" s="95"/>
    </row>
    <row r="34" spans="1:6" x14ac:dyDescent="0.25">
      <c r="A34" s="102" t="s">
        <v>141</v>
      </c>
      <c r="B34" s="77"/>
      <c r="C34" s="92"/>
      <c r="D34" s="92"/>
      <c r="E34" s="92"/>
      <c r="F34" s="93"/>
    </row>
    <row r="35" spans="1:6" x14ac:dyDescent="0.25">
      <c r="A35" s="84" t="s">
        <v>130</v>
      </c>
      <c r="B35" s="85" t="s">
        <v>5</v>
      </c>
      <c r="C35" s="86">
        <f>C27-C30</f>
        <v>32904135.178369384</v>
      </c>
      <c r="D35" s="86">
        <f>D29-D30</f>
        <v>86015970.000963449</v>
      </c>
      <c r="E35" s="86">
        <f>E29-E30</f>
        <v>141520965.07852596</v>
      </c>
      <c r="F35" s="86">
        <f>F29-F30</f>
        <v>211792088.62727806</v>
      </c>
    </row>
    <row r="36" spans="1:6" ht="30" x14ac:dyDescent="0.25">
      <c r="A36" s="84" t="s">
        <v>131</v>
      </c>
      <c r="B36" s="85" t="s">
        <v>5</v>
      </c>
      <c r="C36" s="86">
        <f>C35-C31</f>
        <v>14486478.215973374</v>
      </c>
      <c r="D36" s="86">
        <f t="shared" ref="D36:F36" si="4">D35-D31</f>
        <v>49816244.652544141</v>
      </c>
      <c r="E36" s="86">
        <f t="shared" si="4"/>
        <v>78802836.277194828</v>
      </c>
      <c r="F36" s="86">
        <f t="shared" si="4"/>
        <v>106560328.893501</v>
      </c>
    </row>
    <row r="37" spans="1:6" ht="30" x14ac:dyDescent="0.25">
      <c r="A37" s="84" t="s">
        <v>132</v>
      </c>
      <c r="B37" s="85" t="s">
        <v>5</v>
      </c>
      <c r="C37" s="86">
        <f>C36-C32</f>
        <v>2461441.3999999966</v>
      </c>
      <c r="D37" s="86">
        <f t="shared" ref="D37:F37" si="5">D36-D32</f>
        <v>26181151.9297488</v>
      </c>
      <c r="E37" s="86">
        <f t="shared" si="5"/>
        <v>37853664.001654066</v>
      </c>
      <c r="F37" s="86">
        <f t="shared" si="5"/>
        <v>37853664.001654074</v>
      </c>
    </row>
    <row r="38" spans="1:6" x14ac:dyDescent="0.25">
      <c r="A38" s="90"/>
      <c r="B38" s="77"/>
      <c r="C38" s="94"/>
      <c r="D38" s="94"/>
      <c r="E38" s="94"/>
      <c r="F38" s="95"/>
    </row>
    <row r="39" spans="1:6" x14ac:dyDescent="0.25">
      <c r="A39" s="102" t="s">
        <v>142</v>
      </c>
      <c r="B39" s="77"/>
      <c r="C39" s="94"/>
      <c r="D39" s="94"/>
      <c r="E39" s="94"/>
      <c r="F39" s="95"/>
    </row>
    <row r="40" spans="1:6" ht="32.25" customHeight="1" x14ac:dyDescent="0.25">
      <c r="A40" s="84" t="s">
        <v>135</v>
      </c>
      <c r="B40" s="84" t="s">
        <v>134</v>
      </c>
      <c r="C40" s="96">
        <f>C35/'Data Inputs'!$D$11</f>
        <v>1.0993268013586834</v>
      </c>
      <c r="D40" s="96">
        <f>D35/'Data Inputs'!$D$11</f>
        <v>2.8737926298420247</v>
      </c>
      <c r="E40" s="96">
        <f>E35/'Data Inputs'!$D$11</f>
        <v>4.7282139166278432</v>
      </c>
      <c r="F40" s="96">
        <f>F35/'Data Inputs'!$D$11</f>
        <v>7.0759713963477155</v>
      </c>
    </row>
    <row r="41" spans="1:6" ht="32.25" customHeight="1" x14ac:dyDescent="0.25">
      <c r="A41" s="84" t="s">
        <v>136</v>
      </c>
      <c r="B41" s="84" t="s">
        <v>134</v>
      </c>
      <c r="C41" s="96">
        <f>C36/'Data Inputs'!$D$11</f>
        <v>0.48399308092398446</v>
      </c>
      <c r="D41" s="96">
        <f>D36/'Data Inputs'!$D$11</f>
        <v>1.6643601964528796</v>
      </c>
      <c r="E41" s="96">
        <f>E36/'Data Inputs'!$D$11</f>
        <v>2.6328019099419984</v>
      </c>
      <c r="F41" s="96">
        <f>F36/'Data Inputs'!$D$11</f>
        <v>3.5601794388211312</v>
      </c>
    </row>
    <row r="42" spans="1:6" ht="32.25" customHeight="1" x14ac:dyDescent="0.25">
      <c r="A42" s="84" t="s">
        <v>137</v>
      </c>
      <c r="B42" s="84" t="s">
        <v>134</v>
      </c>
      <c r="C42" s="96">
        <f>C37/'Data Inputs'!$D$11</f>
        <v>8.2236730621404311E-2</v>
      </c>
      <c r="D42" s="96">
        <f>D37/'Data Inputs'!$D$11</f>
        <v>0.87471200354589573</v>
      </c>
      <c r="E42" s="96">
        <f>E37/'Data Inputs'!$D$11</f>
        <v>1.2646905059519917</v>
      </c>
      <c r="F42" s="96">
        <f>F37/'Data Inputs'!$D$11</f>
        <v>1.264690505951992</v>
      </c>
    </row>
    <row r="43" spans="1:6" x14ac:dyDescent="0.25">
      <c r="A43" s="90"/>
      <c r="B43" s="77"/>
      <c r="C43" s="94"/>
      <c r="D43" s="94"/>
      <c r="E43" s="94"/>
      <c r="F43" s="95"/>
    </row>
    <row r="44" spans="1:6" x14ac:dyDescent="0.25">
      <c r="A44" s="102" t="s">
        <v>143</v>
      </c>
      <c r="B44" s="77"/>
      <c r="C44" s="94"/>
      <c r="D44" s="94"/>
      <c r="E44" s="94"/>
      <c r="F44" s="95"/>
    </row>
    <row r="45" spans="1:6" ht="30" x14ac:dyDescent="0.25">
      <c r="A45" s="84" t="s">
        <v>135</v>
      </c>
      <c r="B45" s="84" t="s">
        <v>138</v>
      </c>
      <c r="C45" s="97">
        <f>C40*'Data Inputs'!$K$65/'Data Inputs'!$L$65</f>
        <v>8.1092595208888909</v>
      </c>
      <c r="D45" s="97">
        <f>D40*'Data Inputs'!$K$65/'Data Inputs'!$L$65</f>
        <v>21.198728363398764</v>
      </c>
      <c r="E45" s="97">
        <f>E40*'Data Inputs'!$K$65/'Data Inputs'!$L$65</f>
        <v>34.8779941258828</v>
      </c>
      <c r="F45" s="97">
        <f>F40*'Data Inputs'!$K$65/'Data Inputs'!$L$65</f>
        <v>52.196388139042732</v>
      </c>
    </row>
    <row r="46" spans="1:6" ht="30" x14ac:dyDescent="0.25">
      <c r="A46" s="84" t="s">
        <v>136</v>
      </c>
      <c r="B46" s="84" t="s">
        <v>138</v>
      </c>
      <c r="C46" s="97">
        <f>C41*'Data Inputs'!$K$65/'Data Inputs'!$L$65</f>
        <v>3.5702081443628826</v>
      </c>
      <c r="D46" s="97">
        <f>D41*'Data Inputs'!$K$65/'Data Inputs'!$L$65</f>
        <v>12.277267098912807</v>
      </c>
      <c r="E46" s="97">
        <f>E41*'Data Inputs'!$K$65/'Data Inputs'!$L$65</f>
        <v>19.421043795552475</v>
      </c>
      <c r="F46" s="97">
        <f>F41*'Data Inputs'!$K$65/'Data Inputs'!$L$65</f>
        <v>26.261907719025416</v>
      </c>
    </row>
    <row r="47" spans="1:6" ht="30" x14ac:dyDescent="0.25">
      <c r="A47" s="84" t="s">
        <v>137</v>
      </c>
      <c r="B47" s="84" t="s">
        <v>138</v>
      </c>
      <c r="C47" s="97">
        <f>C42*'Data Inputs'!$K$65/'Data Inputs'!$L$65</f>
        <v>0.60662488164046102</v>
      </c>
      <c r="D47" s="97">
        <f>D42*'Data Inputs'!$K$65/'Data Inputs'!$L$65</f>
        <v>6.452373065064565</v>
      </c>
      <c r="E47" s="97">
        <f>E42*'Data Inputs'!$K$65/'Data Inputs'!$L$65</f>
        <v>9.3290762252805237</v>
      </c>
      <c r="F47" s="97">
        <f>F42*'Data Inputs'!$K$65/'Data Inputs'!$L$65</f>
        <v>9.3290762252805255</v>
      </c>
    </row>
    <row r="48" spans="1:6" x14ac:dyDescent="0.25">
      <c r="A48" s="90"/>
      <c r="B48" s="77"/>
      <c r="C48" s="98"/>
      <c r="D48" s="98"/>
      <c r="E48" s="98"/>
      <c r="F48" s="99"/>
    </row>
    <row r="49" spans="1:6" x14ac:dyDescent="0.25">
      <c r="A49" s="102" t="s">
        <v>144</v>
      </c>
      <c r="B49" s="77"/>
      <c r="C49" s="98"/>
      <c r="D49" s="98"/>
      <c r="E49" s="98"/>
      <c r="F49" s="99"/>
    </row>
    <row r="50" spans="1:6" ht="30" x14ac:dyDescent="0.25">
      <c r="A50" s="84" t="s">
        <v>135</v>
      </c>
      <c r="B50" s="84" t="s">
        <v>139</v>
      </c>
      <c r="C50" s="100">
        <f>C45/12</f>
        <v>0.67577162674074087</v>
      </c>
      <c r="D50" s="100">
        <f t="shared" ref="D50:F50" si="6">D45/12</f>
        <v>1.766560696949897</v>
      </c>
      <c r="E50" s="100">
        <f t="shared" si="6"/>
        <v>2.9064995104902334</v>
      </c>
      <c r="F50" s="100">
        <f t="shared" si="6"/>
        <v>4.3496990115868943</v>
      </c>
    </row>
    <row r="51" spans="1:6" ht="30" x14ac:dyDescent="0.25">
      <c r="A51" s="84" t="s">
        <v>136</v>
      </c>
      <c r="B51" s="84" t="s">
        <v>139</v>
      </c>
      <c r="C51" s="100">
        <f t="shared" ref="C51:F51" si="7">C46/12</f>
        <v>0.29751734536357355</v>
      </c>
      <c r="D51" s="100">
        <f t="shared" si="7"/>
        <v>1.0231055915760672</v>
      </c>
      <c r="E51" s="100">
        <f t="shared" si="7"/>
        <v>1.6184203162960396</v>
      </c>
      <c r="F51" s="100">
        <f t="shared" si="7"/>
        <v>2.1884923099187845</v>
      </c>
    </row>
    <row r="52" spans="1:6" ht="30" x14ac:dyDescent="0.25">
      <c r="A52" s="84" t="s">
        <v>137</v>
      </c>
      <c r="B52" s="84" t="s">
        <v>139</v>
      </c>
      <c r="C52" s="100">
        <f t="shared" ref="C52:F52" si="8">C47/12</f>
        <v>5.0552073470038421E-2</v>
      </c>
      <c r="D52" s="100">
        <f t="shared" si="8"/>
        <v>0.53769775542204712</v>
      </c>
      <c r="E52" s="100">
        <f t="shared" si="8"/>
        <v>0.77742301877337694</v>
      </c>
      <c r="F52" s="100">
        <f t="shared" si="8"/>
        <v>0.77742301877337716</v>
      </c>
    </row>
  </sheetData>
  <mergeCells count="2">
    <mergeCell ref="A2:D2"/>
    <mergeCell ref="C22:F22"/>
  </mergeCells>
  <pageMargins left="0.7" right="0.7" top="0.75" bottom="0.75" header="0.3" footer="0.3"/>
  <pageSetup scale="74" orientation="landscape" r:id="rId1"/>
  <headerFooter>
    <oddFooter>&amp;RPrepared by Gabriel Chan
March 21, 2019
gabechan@umn.edu</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Citation</vt:lpstr>
      <vt:lpstr>Data Inputs</vt:lpstr>
      <vt:lpstr>Calculations</vt:lpstr>
      <vt:lpstr>Calculations!Print_Area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Gabe Chan</dc:creator>
  <cp:lastModifiedBy>Gabe Chan</cp:lastModifiedBy>
  <cp:lastPrinted>2019-03-21T13:34:29Z</cp:lastPrinted>
  <dcterms:created xsi:type="dcterms:W3CDTF">2019-03-21T03:35:42Z</dcterms:created>
  <dcterms:modified xsi:type="dcterms:W3CDTF">2019-03-21T21:22:51Z</dcterms:modified>
</cp:coreProperties>
</file>